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PLANILHA ORÇ" sheetId="2" r:id="rId1"/>
    <sheet name="CRONOGRAM." sheetId="7" r:id="rId2"/>
    <sheet name="BDI" sheetId="6" r:id="rId3"/>
    <sheet name="COMP 01" sheetId="10" r:id="rId4"/>
    <sheet name="COMP 002" sheetId="8" r:id="rId5"/>
    <sheet name="COMP 003" sheetId="1" r:id="rId6"/>
    <sheet name="COMP 96401" sheetId="3" r:id="rId7"/>
    <sheet name="COMP 96402" sheetId="4" r:id="rId8"/>
    <sheet name="Composição SINAPI (2)" sheetId="11" r:id="rId9"/>
    <sheet name="MEMORIAL DE CÁLCULO" sheetId="12" r:id="rId10"/>
    <sheet name="COMP 95427" sheetId="13" r:id="rId11"/>
  </sheets>
  <externalReferences>
    <externalReference r:id="rId14"/>
  </externalReferences>
  <definedNames>
    <definedName name="_xlnm.Print_Area" localSheetId="2">'BDI'!$A$1:$C$35</definedName>
    <definedName name="_xlnm.Print_Area" localSheetId="4">'COMP 002'!$B$1:$J$15</definedName>
    <definedName name="_xlnm.Print_Area" localSheetId="5">'COMP 003'!$A$1:$F$14</definedName>
    <definedName name="_xlnm.Print_Area" localSheetId="3">'COMP 01'!$A$1:$J$24</definedName>
    <definedName name="_xlnm.Print_Area" localSheetId="6">'COMP 96401'!$A$1:$J$18</definedName>
    <definedName name="_xlnm.Print_Area" localSheetId="7">'COMP 96402'!$A$1:$J$18</definedName>
    <definedName name="_xlnm.Print_Area" localSheetId="8">'Composição SINAPI (2)'!$A$1:$J$17</definedName>
    <definedName name="_xlnm.Print_Area" localSheetId="1">'CRONOGRAM.'!$A$1:$O$26</definedName>
    <definedName name="_xlnm.Print_Area" localSheetId="9">'MEMORIAL DE CÁLCULO'!$A$1:$I$71</definedName>
    <definedName name="_xlnm.Print_Area" localSheetId="0">'PLANILHA ORÇ'!$A$1:$H$17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<sst xmlns="http://schemas.openxmlformats.org/spreadsheetml/2006/main" count="736" uniqueCount="370">
  <si>
    <t>CÓDIGO</t>
  </si>
  <si>
    <t>DESCRIÇÃO</t>
  </si>
  <si>
    <t xml:space="preserve">UND </t>
  </si>
  <si>
    <t>QTD</t>
  </si>
  <si>
    <t xml:space="preserve">VALOR </t>
  </si>
  <si>
    <t>TOTAL</t>
  </si>
  <si>
    <t>PRÓPRIA</t>
  </si>
  <si>
    <t>VIBROACABADORA DE ASFALTO SOBRE ESTEIRAS, LARGURA DE PAVIMENTAÇÃO 1,90 M A 5,30 M, POTÊNCIA 105 HP CAPACIDADE 450 T/H - CHP DIURNO. AF_11/2014</t>
  </si>
  <si>
    <t>VIBROACABADORA DE ASFALTO SOBRE ESTEIRAS, LARGURA DE PAVIMENTAÇÃO 1,90 M A 5,30 M, POTÊNCIA 105 HP CAPACIDADE 450 T/H - CHI DIURNO. AF_11/2014</t>
  </si>
  <si>
    <t xml:space="preserve">RASTELEIRO COM ENCARGOS COMPLEMENTARES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</si>
  <si>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</si>
  <si>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ROLO COMPACTADOR VIBRATORIO TANDEM, ACO LISO, POTENCIA 125 HP, PESO SEM/COM LASTRO 10,20/11,65 T, LARGURA DE TRABALHO 1,73 M - CHP DIURNO. AF_11/2016</t>
  </si>
  <si>
    <t>ROLO COMPACTADOR VIBRATORIO TANDEM, ACO LISO, POTENCIA 125 HP, PESO SEM/COM LASTRO 10,20/11,65 T, LARGURA DE TRABALHO 1,73 M - CHI DIURNO. AF_11/2016</t>
  </si>
  <si>
    <t>TRATOR DE PNEUS COM POTÊNCIA DE 85 CV, TRAÇÃO 4X4, COM VASSOURA MECÂNICA ACOPLADA - CHI DIURNO. AF_02/2017</t>
  </si>
  <si>
    <t>ROLO COMPACTADOR DE PNEUS, ESTATICO, PRESSAO VARIAVEL, POTENCIA 110 HP, PESO SEM/COM LASTRO 10,8/27 T, LARGURA DE ROLAGEM 2,30 M - CHI DIURNO. AF_06/2017</t>
  </si>
  <si>
    <t>ROLO COMPACTADOR DE PNEUS, ESTATICO, PRESSAO VARIAVEL, POTENCIA 110 HP, PESO SEM/COM LASTRO 10,8/27 T, LARGURA DE ROLAGEM 2,30 M - CHP DIURNO. AF_06/2017</t>
  </si>
  <si>
    <t>CONCRETO BETUMINOSO USINADO A QUENTE (CBUQ) PARA PAVIMENTACAO ASFALTICA, PADRAO DNIT, FAIXA C, COM CAP 50/70 - AQUISICAO POSTO USINA</t>
  </si>
  <si>
    <t>CHP</t>
  </si>
  <si>
    <t>CHI</t>
  </si>
  <si>
    <t>H</t>
  </si>
  <si>
    <t>T</t>
  </si>
  <si>
    <t>TOTAL (SEM BDI)</t>
  </si>
  <si>
    <t>EXECUÇÃO DE IMPRIMAÇÃO COM ASFALTO DILUÍDO CM-30. AF_11/2019</t>
  </si>
  <si>
    <t>EXECUÇÃO DE PINTURA DE LIGAÇÃO COM EMULSÃO ASFÁLTICA RR-2C. AF_11/2019</t>
  </si>
  <si>
    <t>UND</t>
  </si>
  <si>
    <t>EXECUÇÃO DE IMPRIMAÇÃO COM ASFALTO DILUÍDO CM-30.</t>
  </si>
  <si>
    <t>EXECUÇÃO DE PINTURA DE LIGAÇÃO COM EMULSÃO ASFÁLTICA RR-2C.</t>
  </si>
  <si>
    <t>M²</t>
  </si>
  <si>
    <t>M³</t>
  </si>
  <si>
    <t>V. UNIT (S/ BDI)</t>
  </si>
  <si>
    <t>V. UNIT (C/ BDI)</t>
  </si>
  <si>
    <t>TOTAL (INCLUSO BDI)</t>
  </si>
  <si>
    <t>Código</t>
  </si>
  <si>
    <t>Descrição</t>
  </si>
  <si>
    <t>Data</t>
  </si>
  <si>
    <t>Estado</t>
  </si>
  <si>
    <t>Pará</t>
  </si>
  <si>
    <t>Tipo</t>
  </si>
  <si>
    <t>PAVI - PAVIMENTAÇÃO</t>
  </si>
  <si>
    <t>Unidade</t>
  </si>
  <si>
    <t>m²</t>
  </si>
  <si>
    <t>Valor sem Desoneração</t>
  </si>
  <si>
    <t>Valor com Desoneração</t>
  </si>
  <si>
    <t>codigo</t>
  </si>
  <si>
    <t>Coeficiente</t>
  </si>
  <si>
    <t>C</t>
  </si>
  <si>
    <t xml:space="preserve"> 5839 </t>
  </si>
  <si>
    <t>VASSOURA MECÂNICA REBOCÁVEL COM ESCOVA CILÍNDRICA, LARGURA ÚTIL DE VARRIMENTO DE 2,44 M - CHP DIURNO. AF_06/2014</t>
  </si>
  <si>
    <t>CHOR - CUSTOS HORÁRIOS DE MÁQUINAS E EQUIPAMENTOS</t>
  </si>
  <si>
    <t xml:space="preserve"> 6,85</t>
  </si>
  <si>
    <t xml:space="preserve"> 0,002</t>
  </si>
  <si>
    <t xml:space="preserve"> 0,01</t>
  </si>
  <si>
    <t xml:space="preserve"> 5841 </t>
  </si>
  <si>
    <t>VASSOURA MECÂNICA REBOCÁVEL COM ESCOVA CILÍNDRICA, LARGURA ÚTIL DE VARRIMENTO DE 2,44 M - CHI DIURNO. AF_06/2014</t>
  </si>
  <si>
    <t xml:space="preserve"> 3,26</t>
  </si>
  <si>
    <t xml:space="preserve"> 0,004</t>
  </si>
  <si>
    <t xml:space="preserve"> 83362 </t>
  </si>
  <si>
    <t>ESPARGIDOR DE ASFALTO PRESSURIZADO, TANQUE 6 M3 COM ISOLAÇÃO TÉRMICA, AQUECIDO COM 2 MAÇARICOS, COM BARRA ESPARGIDORA 3,60 M, MONTADO SOBRE CAMINHÃO  TOCO, PBT 14.300 KG, POTÊNCIA 185 CV - CHP DIURNO. AF_08/2015</t>
  </si>
  <si>
    <t xml:space="preserve"> 210,13</t>
  </si>
  <si>
    <t xml:space="preserve"> 208,22</t>
  </si>
  <si>
    <t xml:space="preserve"> 0,001</t>
  </si>
  <si>
    <t xml:space="preserve"> 0,21</t>
  </si>
  <si>
    <t xml:space="preserve"> 0,20</t>
  </si>
  <si>
    <t xml:space="preserve"> 88316 </t>
  </si>
  <si>
    <t>SERVENTE COM ENCARGOS COMPLEMENTARES</t>
  </si>
  <si>
    <t>SEDI - SERVIÇOS DIVERSOS</t>
  </si>
  <si>
    <t xml:space="preserve"> 16,59</t>
  </si>
  <si>
    <t xml:space="preserve"> 15,06</t>
  </si>
  <si>
    <t xml:space="preserve"> 0,0058</t>
  </si>
  <si>
    <t xml:space="preserve"> 0,09</t>
  </si>
  <si>
    <t xml:space="preserve"> 0,08</t>
  </si>
  <si>
    <t xml:space="preserve"> 89035 </t>
  </si>
  <si>
    <t>TRATOR DE PNEUS, POTÊNCIA 85 CV, TRAÇÃO 4X4, PESO COM LASTRO DE 4.675 KG - CHP DIURNO. AF_06/2014</t>
  </si>
  <si>
    <t xml:space="preserve"> 127,26</t>
  </si>
  <si>
    <t xml:space="preserve"> 125,30</t>
  </si>
  <si>
    <t xml:space="preserve"> 0,0017</t>
  </si>
  <si>
    <t xml:space="preserve"> 89036 </t>
  </si>
  <si>
    <t>TRATOR DE PNEUS, POTÊNCIA 85 CV, TRAÇÃO 4X4, PESO COM LASTRO DE 4.675 KG - CHI DIURNO. AF_06/2014</t>
  </si>
  <si>
    <t xml:space="preserve"> 29,58</t>
  </si>
  <si>
    <t xml:space="preserve"> 27,62</t>
  </si>
  <si>
    <t xml:space="preserve"> 0,0041</t>
  </si>
  <si>
    <t xml:space="preserve"> 0,12</t>
  </si>
  <si>
    <t xml:space="preserve"> 0,11</t>
  </si>
  <si>
    <t xml:space="preserve"> 91486 </t>
  </si>
  <si>
    <t>ESPARGIDOR DE ASFALTO PRESSURIZADO, TANQUE 6 M3 COM ISOLAÇÃO TÉRMICA, AQUECIDO COM 2 MAÇARICOS, COM BARRA ESPARGIDORA 3,60 M, MONTADO SOBRE CAMINHÃO  TOCO, PBT 14.300 KG, POTÊNCIA 185 CV - CHI DIURNO. AF_08/2015</t>
  </si>
  <si>
    <t xml:space="preserve"> 40,22</t>
  </si>
  <si>
    <t xml:space="preserve"> 38,31</t>
  </si>
  <si>
    <t xml:space="preserve"> 0,0049</t>
  </si>
  <si>
    <t xml:space="preserve"> 0,19</t>
  </si>
  <si>
    <t xml:space="preserve"> 0,18</t>
  </si>
  <si>
    <t>I</t>
  </si>
  <si>
    <t xml:space="preserve"> 00041901 </t>
  </si>
  <si>
    <t>ASFALTO DILUIDO DE PETROLEO CM-30 (COLETADO CAIXA NA ANP ACRESCIDO DE ICMS)</t>
  </si>
  <si>
    <t>Material</t>
  </si>
  <si>
    <t>KG</t>
  </si>
  <si>
    <t xml:space="preserve"> 1,2</t>
  </si>
  <si>
    <t xml:space="preserve"> 0,0004</t>
  </si>
  <si>
    <t xml:space="preserve"> 0,0055</t>
  </si>
  <si>
    <t xml:space="preserve"> 0,0038</t>
  </si>
  <si>
    <t xml:space="preserve"> 0,10</t>
  </si>
  <si>
    <t xml:space="preserve"> 0,0051</t>
  </si>
  <si>
    <t xml:space="preserve"> 00041903 </t>
  </si>
  <si>
    <t>EMULSAO ASFALTICA CATIONICA RR-2C PARA USO EM PAVIMENTACAO ASFALTICA (COLETADO CAIXA NA ANP ACRESCIDO DE ICMS)</t>
  </si>
  <si>
    <t xml:space="preserve"> 0,45</t>
  </si>
  <si>
    <t>BASEADA 96401 (SINAPI)</t>
  </si>
  <si>
    <t xml:space="preserve"> 96401 BASEADA</t>
  </si>
  <si>
    <t xml:space="preserve">BASEADA 96402 </t>
  </si>
  <si>
    <t xml:space="preserve"> 01/2022</t>
  </si>
  <si>
    <t>Composição SINAPI - 96401 BASEADA</t>
  </si>
  <si>
    <t>Composição SINAPI - 96402 BASEADA</t>
  </si>
  <si>
    <t>BASEADA 96402 (SINAPI)</t>
  </si>
  <si>
    <t>ESTADO DO PARÁ</t>
  </si>
  <si>
    <t>PREFEITURA MUNICIPAL DE ABAETETUBA</t>
  </si>
  <si>
    <t>SECRETARIA MUNICIPAL DE OBRAS E VIAÇÃO PÚBLICA</t>
  </si>
  <si>
    <t>PLANILHA ORÇAMENTÁRIA</t>
  </si>
  <si>
    <t>BDI:</t>
  </si>
  <si>
    <r>
      <t xml:space="preserve">PRAZO: </t>
    </r>
    <r>
      <rPr>
        <b/>
        <sz val="11"/>
        <color theme="1"/>
        <rFont val="Calibri"/>
        <family val="2"/>
        <scheme val="minor"/>
      </rPr>
      <t>12 MESES</t>
    </r>
  </si>
  <si>
    <t>CÁLCULO DO BDI</t>
  </si>
  <si>
    <t>1.0</t>
  </si>
  <si>
    <t>CUSTOS INDIRETOS</t>
  </si>
  <si>
    <t>1.1</t>
  </si>
  <si>
    <t xml:space="preserve">Administração Central </t>
  </si>
  <si>
    <t>1.2</t>
  </si>
  <si>
    <t>Seguros + Garantia</t>
  </si>
  <si>
    <t>1.3</t>
  </si>
  <si>
    <t>Riscos</t>
  </si>
  <si>
    <t>1.5</t>
  </si>
  <si>
    <t>Despesas Financeiras</t>
  </si>
  <si>
    <t>2.0</t>
  </si>
  <si>
    <t>TRIBUTOS</t>
  </si>
  <si>
    <t>2.1</t>
  </si>
  <si>
    <t>Pis</t>
  </si>
  <si>
    <t>2.2</t>
  </si>
  <si>
    <t>Cofins</t>
  </si>
  <si>
    <t>2.3</t>
  </si>
  <si>
    <t xml:space="preserve">ISS </t>
  </si>
  <si>
    <t>2.4</t>
  </si>
  <si>
    <t>CPRB</t>
  </si>
  <si>
    <t>3.0</t>
  </si>
  <si>
    <t>LUCRO</t>
  </si>
  <si>
    <t>3.1</t>
  </si>
  <si>
    <t>Lucro</t>
  </si>
  <si>
    <t>4.0</t>
  </si>
  <si>
    <t>TAXA TOTAL DE BDI</t>
  </si>
  <si>
    <t>Segundo Acórdão 2622/2013 do Tribunal de Contas da União – TCU, o cálculo do BDI deve ser feito da seguinte maneira: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</si>
  <si>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</si>
  <si>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</si>
  <si>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</si>
  <si>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</si>
  <si>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</si>
  <si>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</si>
  <si>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</si>
  <si>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CRONOGRAMA FÍSICO - FINANCEIRO</t>
  </si>
  <si>
    <t>ITEM</t>
  </si>
  <si>
    <t>R$/ITEM</t>
  </si>
  <si>
    <t>MÊS 01</t>
  </si>
  <si>
    <t>MÊS 02</t>
  </si>
  <si>
    <t>MÊS 03</t>
  </si>
  <si>
    <t>MÊS 04</t>
  </si>
  <si>
    <t>MÊS 05</t>
  </si>
  <si>
    <t>MÊS 06</t>
  </si>
  <si>
    <t>R$ ACUMULADO</t>
  </si>
  <si>
    <t>% ACUMULADO</t>
  </si>
  <si>
    <t>MÊS 07</t>
  </si>
  <si>
    <t>MÊS 08</t>
  </si>
  <si>
    <t>MÊS 09</t>
  </si>
  <si>
    <t>MÊS 10</t>
  </si>
  <si>
    <t>MÊS 11</t>
  </si>
  <si>
    <t>MÊS 12</t>
  </si>
  <si>
    <t>TRATOR DE PNEUS COM POTÊNCIA DE 85 CV, TRAÇÃO 4X4, COM GRADE DE DISCOS ACOPLADA - CHP DIURNO. AF_02/2017</t>
  </si>
  <si>
    <t>ROLO COMPACTADOR VIBRATORIO TANDEM, ACO LISO, POTENCIA 125 HP, PESO SEM/COM LASTRO 10,20/11,65 T, LARGURA DE TRABALHO 1,73 M - CHI DIURNO. AF_11/2017</t>
  </si>
  <si>
    <t>ROLO COMPACTADOR DE PNEUS ESTÁTICO, PRESSÃO VARIÁVEL, POTÊNCIA 111 HP, PESO SEM/COM LASTRO 9,5 / 26 T, LARGURA DE TRABALHO 1,90 M - CHI DIURNO. AF_07/2014</t>
  </si>
  <si>
    <t>ROLO COMPACTADOR DE PNEUS ESTÁTICO, PRESSÃO VARIÁVEL, POTÊNCIA 111 HP, PESO SEM/COM LASTRO 9,5 / 26 T, LARGURA DE TRABALHO 1,90 M - CHI DIURNO. AF_07/2015</t>
  </si>
  <si>
    <t>MOTONIVELADORA POTÊNCIA BÁSICA LÍQUIDA (PRIMEIRA MARCHA) 125 HP, PESO BRUTO 13032 KG, LARGURA DA LÂMINA DE 3,7 M - CHI DIURNO. AF_06/2014</t>
  </si>
  <si>
    <t>MOTONIVELADORA POTÊNCIA BÁSICA LÍQUIDA (PRIMEIRA MARCHA) 125 HP, PESO BRUTO 13032 KG, LARGURA DA LÂMINA DE 3,7 M - CHI DIURNO. AF_06/2015</t>
  </si>
  <si>
    <t>CAMINHÃO PIPA 6.000 L, PESO BRUTO TOTAL 13.000 KG, DISTÂNCIA ENTRE EIXOS 4,80 M, POTÊNCIA 189 CV INCLUSIVE TANQUE DE AÇO PARA TRANSPORTE DE ÁGUA, CAPACIDADE 6 M3 - CHI DIURNO. AF_06/2014</t>
  </si>
  <si>
    <t>CAMINHÃO PIPA 6.000 L, PESO BRUTO TOTAL 13.000 KG, DISTÂNCIA ENTRE EIXOS 4,80 M, POTÊNCIA 189 CV INCLUSIVE TANQUE DE AÇO PARA TRANSPORTE DE ÁGUA, CAPACIDADE 6 M3 - CHI DIURNO. AF_06/2015</t>
  </si>
  <si>
    <t>PEDREGULHO OU PICARRA DE JAZIDA, AO NATURAL, PARA BASE DE PAVIMENTACAO (RETIRADO NA JAZIDA, SEM TRANSPORTE)</t>
  </si>
  <si>
    <t>TRANSPORTE COM CAMINHÃO BASCULANTE DE 10 M³, EM VIA URBANA PAVIMENTADA, DMT ATÉ 30 KM (UNIDADE: M3XKM). AF_07/2020</t>
  </si>
  <si>
    <t>M3XKM</t>
  </si>
  <si>
    <t>DESCRIÇÃO DOS SERVIÇOS</t>
  </si>
  <si>
    <t>UNID</t>
  </si>
  <si>
    <t>QUANT</t>
  </si>
  <si>
    <t>MÃO DE OBRA</t>
  </si>
  <si>
    <t>MAT. E EQUIP.</t>
  </si>
  <si>
    <t>CUSTO UNIT.</t>
  </si>
  <si>
    <t>CUSTO UNIT. (COM BDI)</t>
  </si>
  <si>
    <t>INCLUSIVE ESCAVAÇÃO, CARGA E TRANSPORTE DO SOLO DMT ATE 10KM</t>
  </si>
  <si>
    <t>BASE DE SOLO ESTABILIZADO SEM MISTURA, COMPACTAÇÃO 100% PROCTOR NORMAL,
INCLUSIVE ESCAVAÇÃO, CARGA E TRANSPORTE DO SOLO DMT ATE 10KM</t>
  </si>
  <si>
    <t>BASE DE SOLO ESTABILIZADO SEM MISTURA, COMPACTAÇÃO 100% PROCTOR NORMAL, INCLUSIVE ESCAVAÇÃO, CARGA E TRANSPORTE DO SOLO DMT ATE 10KM</t>
  </si>
  <si>
    <t>m³</t>
  </si>
  <si>
    <t xml:space="preserve"> 7,40</t>
  </si>
  <si>
    <t>Composição SINAPI - 94273</t>
  </si>
  <si>
    <t xml:space="preserve"> 94273 </t>
  </si>
  <si>
    <t xml:space="preserve"> 11/2021 </t>
  </si>
  <si>
    <t>DROP - DRENAGEM/OBRAS DE CONTENÇÃO / POÇOS DE VISITA E CAIXAS</t>
  </si>
  <si>
    <t>M</t>
  </si>
  <si>
    <t xml:space="preserve"> 88309 </t>
  </si>
  <si>
    <t>PEDREIRO COM ENCARGOS COMPLEMENTARES</t>
  </si>
  <si>
    <t xml:space="preserve"> 23,68</t>
  </si>
  <si>
    <t xml:space="preserve"> 21,31</t>
  </si>
  <si>
    <t xml:space="preserve"> 0,394</t>
  </si>
  <si>
    <t xml:space="preserve"> 9,32</t>
  </si>
  <si>
    <t xml:space="preserve"> 8,39</t>
  </si>
  <si>
    <t xml:space="preserve"> 18,80</t>
  </si>
  <si>
    <t xml:space="preserve"> 17,09</t>
  </si>
  <si>
    <t xml:space="preserve"> 6,73</t>
  </si>
  <si>
    <t xml:space="preserve"> 88629 </t>
  </si>
  <si>
    <t>ARGAMASSA TRAÇO 1:3 (EM VOLUME DE CIMENTO E AREIA MÉDIA ÚMIDA), PREPARO MANUAL. AF_08/2019</t>
  </si>
  <si>
    <t xml:space="preserve"> 670,67</t>
  </si>
  <si>
    <t xml:space="preserve"> 656,02</t>
  </si>
  <si>
    <t xml:space="preserve"> 1,34</t>
  </si>
  <si>
    <t xml:space="preserve"> 1,31</t>
  </si>
  <si>
    <t xml:space="preserve"> 00000370 </t>
  </si>
  <si>
    <t>AREIA MEDIA - POSTO JAZIDA/FORNECEDOR (RETIRADO NA JAZIDA, SEM TRANSPORTE)</t>
  </si>
  <si>
    <t xml:space="preserve"> 70,00</t>
  </si>
  <si>
    <t xml:space="preserve"> 0,007</t>
  </si>
  <si>
    <t xml:space="preserve"> 0,49</t>
  </si>
  <si>
    <t xml:space="preserve"> 00004059 </t>
  </si>
  <si>
    <t>MEIO-FIO OU GUIA DE CONCRETO, PRE-MOLDADO, COMP 1 M, *30 X 12/15* CM (H X L1/L2)</t>
  </si>
  <si>
    <t xml:space="preserve"> 34,06</t>
  </si>
  <si>
    <t xml:space="preserve"> 1,005</t>
  </si>
  <si>
    <t xml:space="preserve"> 34,23</t>
  </si>
  <si>
    <t>Composição SINAPI - 94992</t>
  </si>
  <si>
    <t xml:space="preserve"> 94992 </t>
  </si>
  <si>
    <t>EXECUÇÃO DE PASSEIO (CALÇADA) OU PISO DE CONCRETO COM CONCRETO MOLDADO IN LOCO, FEITO EM OBRA, ACABAMENTO CONVENCIONAL, ESPESSURA 6 CM, ARMADO. AF_07/2016</t>
  </si>
  <si>
    <t>PISO - PISOS</t>
  </si>
  <si>
    <t xml:space="preserve"> 94,99</t>
  </si>
  <si>
    <t xml:space="preserve"> 93,00</t>
  </si>
  <si>
    <t xml:space="preserve"> 88262 </t>
  </si>
  <si>
    <t>CARPINTEIRO DE FORMAS COM ENCARGOS COMPLEMENTARES</t>
  </si>
  <si>
    <t xml:space="preserve"> 23,42</t>
  </si>
  <si>
    <t xml:space="preserve"> 21,07</t>
  </si>
  <si>
    <t xml:space="preserve"> 0,1354</t>
  </si>
  <si>
    <t xml:space="preserve"> 3,17</t>
  </si>
  <si>
    <t xml:space="preserve"> 2,85</t>
  </si>
  <si>
    <t xml:space="preserve"> 0,2217</t>
  </si>
  <si>
    <t xml:space="preserve"> 5,24</t>
  </si>
  <si>
    <t xml:space="preserve"> 4,72</t>
  </si>
  <si>
    <t xml:space="preserve"> 0,357</t>
  </si>
  <si>
    <t xml:space="preserve"> 6,71</t>
  </si>
  <si>
    <t xml:space="preserve"> 6,10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</si>
  <si>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</si>
  <si>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</si>
  <si>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</si>
  <si>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 xml:space="preserve"> 481,76</t>
  </si>
  <si>
    <t xml:space="preserve"> 474,44</t>
  </si>
  <si>
    <t xml:space="preserve"> 0,0728</t>
  </si>
  <si>
    <t xml:space="preserve"> 35,07</t>
  </si>
  <si>
    <t xml:space="preserve"> 34,53</t>
  </si>
  <si>
    <t xml:space="preserve"> 00003777 </t>
  </si>
  <si>
    <t>LONA PLASTICA PESADA PRETA, E = 150 MICRA</t>
  </si>
  <si>
    <t xml:space="preserve"> 1,65</t>
  </si>
  <si>
    <t xml:space="preserve"> 1,128</t>
  </si>
  <si>
    <t xml:space="preserve"> 1,86</t>
  </si>
  <si>
    <t xml:space="preserve"> 00004517 </t>
  </si>
  <si>
    <t>SARRAFO *2,5 X 7,5* CM EM PINUS, MISTA OU EQUIVALENTE DA REGIAO - BRUTA</t>
  </si>
  <si>
    <t xml:space="preserve"> 3,19</t>
  </si>
  <si>
    <t xml:space="preserve"> 1,43</t>
  </si>
  <si>
    <t xml:space="preserve"> 00007156 </t>
  </si>
  <si>
    <t>TELA DE ACO SOLDADA NERVURADA, CA-60, Q-196, (3,11 KG/M2), DIAMETRO DO FIO = 5,0 MM, LARGURA = 2,45 M, ESPACAMENTO DA MALHA = 10 X 10 CM</t>
  </si>
  <si>
    <t xml:space="preserve"> 36,99</t>
  </si>
  <si>
    <t xml:space="preserve"> 1,1224</t>
  </si>
  <si>
    <t xml:space="preserve"> 41,51</t>
  </si>
  <si>
    <t>SINAPI - 94992 (11/21)</t>
  </si>
  <si>
    <t xml:space="preserve"> 0,691</t>
  </si>
  <si>
    <t xml:space="preserve"> 16,36</t>
  </si>
  <si>
    <t xml:space="preserve"> 14,72</t>
  </si>
  <si>
    <t xml:space="preserve"> 12,99</t>
  </si>
  <si>
    <t xml:space="preserve"> 11,80</t>
  </si>
  <si>
    <t xml:space="preserve"> 0,70</t>
  </si>
  <si>
    <t xml:space="preserve"> 0,2</t>
  </si>
  <si>
    <t xml:space="preserve"> 0,63</t>
  </si>
  <si>
    <t xml:space="preserve"> 00006189 </t>
  </si>
  <si>
    <t>TABUA NAO APARELHADA *2,5 X 30* CM, EM MACARANDUBA, ANGELIM OU EQUIVALENTE DA REGIAO - BRUTA</t>
  </si>
  <si>
    <t xml:space="preserve"> 22,09</t>
  </si>
  <si>
    <t xml:space="preserve"> 0,083</t>
  </si>
  <si>
    <t xml:space="preserve"> 1,83</t>
  </si>
  <si>
    <t xml:space="preserve"> 00034492 </t>
  </si>
  <si>
    <t>CONCRETO USINADO BOMBEAVEL, CLASSE DE RESISTENCIA C20, COM BRITA 0 E 1, SLUMP = 100 +/- 20 MM, EXCLUI SERVICO DE BOMBEAMENTO (NBR 8953)</t>
  </si>
  <si>
    <t xml:space="preserve"> 480,00</t>
  </si>
  <si>
    <t xml:space="preserve"> 0,037</t>
  </si>
  <si>
    <t xml:space="preserve"> 17,76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</si>
  <si>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</si>
  <si>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</si>
  <si>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120,60</t>
  </si>
  <si>
    <t xml:space="preserve"> 118,00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</si>
  <si>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</si>
  <si>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</si>
  <si>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46,33</t>
  </si>
  <si>
    <t xml:space="preserve"> 43,73</t>
  </si>
  <si>
    <t>ASSENTAMENTO DE GUIA (MEIO-FIO) EM EM CONCRETO PRÉ-FABRICADO, DIMENSÕES 100X15X13X30 CM (COMPRIMENTO X BASE INFERIOR X BASE SUPERIOR X ALTURA) INCLUINDO SARJETA DE CONCRETO USINADO, MOLDADA IN LOCO, 30 CM BASE X 10 CM ALTURA E ESCAVAÇÃO.</t>
  </si>
  <si>
    <t>PRÓPRIA 01</t>
  </si>
  <si>
    <t>PRÓPRIA 02</t>
  </si>
  <si>
    <t>PRÓPRIA 03</t>
  </si>
  <si>
    <t xml:space="preserve"> TOTAL</t>
  </si>
  <si>
    <r>
      <t xml:space="preserve">OBRA: </t>
    </r>
    <r>
      <rPr>
        <b/>
        <sz val="11"/>
        <color theme="1"/>
        <rFont val="Calibri"/>
        <family val="2"/>
        <scheme val="minor"/>
      </rPr>
      <t>CONTRATAÇÃO DE EMPRESA PARA EVENTUAL FORNECIMENTO E APLICAÇÃO DE CBUQ (CONCRETO BETUMINOSO USINADO À QUENTE), LIGANTES ASFÁLTICOS, BASE E MEIO FIO COM SARJETA, INCLUINDO MATERIAL, TRANSPORTE, EQUIPAMENTOS, FERRAMENTAS, MÃO DE OBRA E DEMAIS INSUMOS NECESSÁRIOS.</t>
    </r>
  </si>
  <si>
    <r>
      <t xml:space="preserve">OBRA: </t>
    </r>
    <r>
      <rPr>
        <sz val="10"/>
        <color theme="1"/>
        <rFont val="Calibri"/>
        <family val="2"/>
        <scheme val="minor"/>
      </rPr>
      <t>CONTRATAÇÃO DE EMPRESA PARA EVENTUAL FORNECIMENTO E APLICAÇÃO DE CBUQ (CONCRETO BETUMINOSO USINADO À QUENTE), LIGANTES ASFÁLTICOS, BASE E MEIO FIO COM SARJETA, INCLUINDO MATERIAL, TRANSPORTE, EQUIPAMENTOS, FERRAMENTAS, MÃO DE OBRA E DEMAIS INSUMOS NECESSÁRIOS.</t>
    </r>
  </si>
  <si>
    <t>OBRA: CONTRATAÇÃO DE EMPRESA PARA EVENTUAL FORNECIMENTO E APLICAÇÃO DE CBUQ (CONCRETO BETUMINOSO USINADO À QUENTE), LIGANTES ASFÁLTICOS, BASE E MEIO FIO COM SARJETA, INCLUINDO MATERIAL, TRANSPORTE, EQUIPAMENTOS, FERRAMENTAS, MÃO DE OBRA E DEMAIS INSUMOS NECESSÁRIOS.</t>
  </si>
  <si>
    <t>BAIRROS</t>
  </si>
  <si>
    <t>ÁREA A RECOMPOR (m²)</t>
  </si>
  <si>
    <t>CBUQ (Ton)</t>
  </si>
  <si>
    <t>VOLUME (M³)</t>
  </si>
  <si>
    <t>CENTRO</t>
  </si>
  <si>
    <t>SÃO JOÃO</t>
  </si>
  <si>
    <t>SÃO JOSÉ</t>
  </si>
  <si>
    <t>SÃO LOURENÇO</t>
  </si>
  <si>
    <t>SANTA ROSA</t>
  </si>
  <si>
    <t>CRISTO</t>
  </si>
  <si>
    <t>SÃO SEBASTIÃO</t>
  </si>
  <si>
    <t>AVIAÇÃO</t>
  </si>
  <si>
    <t>MUTIRÃO</t>
  </si>
  <si>
    <t>ALGODOAL</t>
  </si>
  <si>
    <t>ANGELICA</t>
  </si>
  <si>
    <t>SANTA CLARA</t>
  </si>
  <si>
    <t>FRANCILÂNDIA</t>
  </si>
  <si>
    <t>2 m X 3 m =</t>
  </si>
  <si>
    <t>pavimento a demolir</t>
  </si>
  <si>
    <t>área a recompor</t>
  </si>
  <si>
    <t>espessura de 15 cm</t>
  </si>
  <si>
    <t>área à pavimentar</t>
  </si>
  <si>
    <t>área de recapeamento</t>
  </si>
  <si>
    <t xml:space="preserve">área </t>
  </si>
  <si>
    <t>camada</t>
  </si>
  <si>
    <t>IMPRIMAÇÃO/ PINT. DE LIGAÇÃO</t>
  </si>
  <si>
    <t>MEIO FIO (M)</t>
  </si>
  <si>
    <t>CALÇADA (M)</t>
  </si>
  <si>
    <t>TERRAPLENAGEM (M³)</t>
  </si>
  <si>
    <t>MEMORIAL DE CÁLCULO -ESTIMATIVA DE SERVIÇOS DE RECAPEAMENTO E PAVIMENTAÇÃO EM CBUQ - POR BAIRRO</t>
  </si>
  <si>
    <t>PLACA DE OBRA</t>
  </si>
  <si>
    <t>EXECUÇÃO DE IMPRIMAÇÃO COM ASFALTO DILUÍDO CM-30. AF_09/2017</t>
  </si>
  <si>
    <t xml:space="preserve"> PINTURA DE LIGACAO COM EMULSAO RR-2C</t>
  </si>
  <si>
    <t>EXECUÇÃO DE PAVIMENTO COM APLICAÇÃO DE CONCRETO ASFÁLTICO, CAMADA DE ROLAMENTO - EXCLUSIVE CARGA E TRANSPORTE. AF_11/2019</t>
  </si>
  <si>
    <t>ÁREA DE PAVIMENTAÇÃO</t>
  </si>
  <si>
    <t>ASSENTAMENTO DE GUIA (MEIO-FIO) EM EM CONCRETO PRÉ-FABRICADO, DIMENSÕES 100X15X13X30 CM (COMPRIMENTO X BASE INFERIOR X BASE SUPERIOR X ALTURA) INCLUINDO SARJETA DE CONCRETO USINADO, MOLDADA IN LOCO, 30 CM BASE X 10 CM ALTURA E ESCAVAÇÃO</t>
  </si>
  <si>
    <t>ext. pavimentação</t>
  </si>
  <si>
    <t>lados meio fio</t>
  </si>
  <si>
    <t>m</t>
  </si>
  <si>
    <t>largura passeio</t>
  </si>
  <si>
    <t>lados</t>
  </si>
  <si>
    <t>trecho sem passeio</t>
  </si>
  <si>
    <t>Composição SINAPI - 95427</t>
  </si>
  <si>
    <t xml:space="preserve"> 95427 </t>
  </si>
  <si>
    <t>TRANSPORTE COM CAMINHÃO BASCULANTE DE 18 M³, EM VIA URBANA PAVIMENTADA, ADICIONAL PARA DMT EXCEDENTE A 30 KM (UNIDADE: M3XKM). AF_07/2020</t>
  </si>
  <si>
    <t xml:space="preserve"> 01/2022 </t>
  </si>
  <si>
    <t>TRAN - TRANSPORTES, CARGAS E DESCARGAS</t>
  </si>
  <si>
    <t xml:space="preserve"> 0,66</t>
  </si>
  <si>
    <t xml:space="preserve"> 0,65</t>
  </si>
  <si>
    <t xml:space="preserve"> 89883 </t>
  </si>
  <si>
    <t>CAMINHÃO BASCULANTE 18 M3, COM CAVALO MECÂNICO DE CAPACIDADE MÁXIMA DE TRAÇÃO COMBINADO DE 45000 KG, POTÊNCIA 330 CV, INCLUSIVE SEMIREBOQUE COM CAÇAMBA METÁLICA - CHP DIURNO. AF_12/2014</t>
  </si>
  <si>
    <t xml:space="preserve"> 322,45</t>
  </si>
  <si>
    <t xml:space="preserve"> 320,45</t>
  </si>
  <si>
    <t xml:space="preserve"> 0,0019</t>
  </si>
  <si>
    <t xml:space="preserve"> 0,61</t>
  </si>
  <si>
    <t xml:space="preserve"> 0,60</t>
  </si>
  <si>
    <t xml:space="preserve"> 89884 </t>
  </si>
  <si>
    <t>CAMINHÃO BASCULANTE 18 M3, COM CAVALO MECÂNICO DE CAPACIDADE MÁXIMA DE TRAÇÃO COMBINADO DE 45000 KG, POTÊNCIA 330 CV, INCLUSIVE SEMIREBOQUE COM CAÇAMBA METÁLICA - CHI DIURNO. AF_12/2014</t>
  </si>
  <si>
    <t xml:space="preserve"> 65,61</t>
  </si>
  <si>
    <t xml:space="preserve"> 63,61</t>
  </si>
  <si>
    <t xml:space="preserve"> 0,0008</t>
  </si>
  <si>
    <t xml:space="preserve"> 0,05</t>
  </si>
  <si>
    <t>M³ X KM</t>
  </si>
  <si>
    <t>M³xKM</t>
  </si>
  <si>
    <t>SINAPI - 95427</t>
  </si>
  <si>
    <t xml:space="preserve"> FORNECIMENTO E APLICAÇÃO DE CONCRETO BETUMINOSO USINADO A QUENTE (CBUQ), CAMADA DE ROLAMENTO.</t>
  </si>
  <si>
    <t xml:space="preserve"> FORNECIMENTO E APLICAÇÃO DE CONCRETO BETUMINOSO USINADO A QUENTE (CBUQ), CAMADA DE ROLAMENTO</t>
  </si>
  <si>
    <t>COMPOSIÇÃO PRÓPRIA 03</t>
  </si>
  <si>
    <t>DMT</t>
  </si>
  <si>
    <t>KM</t>
  </si>
  <si>
    <t>Quant.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</si>
</sst>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\ &quot;DIAS&quot;"/>
    <numFmt numFmtId="165" formatCode="0.0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F7F3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4" fontId="0" fillId="0" borderId="1" xfId="20" applyFont="1" applyBorder="1" applyAlignment="1">
      <alignment horizont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4" fontId="2" fillId="0" borderId="1" xfId="20" applyFont="1" applyBorder="1" applyAlignment="1">
      <alignment horizontal="center"/>
    </xf>
    <xf numFmtId="4" fontId="0" fillId="0" borderId="0" xfId="0" applyNumberFormat="1"/>
    <xf numFmtId="44" fontId="2" fillId="0" borderId="1" xfId="0" applyNumberFormat="1" applyFont="1" applyBorder="1"/>
    <xf numFmtId="0" fontId="0" fillId="0" borderId="0" xfId="0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right" vertical="top" wrapText="1"/>
    </xf>
    <xf numFmtId="0" fontId="0" fillId="0" borderId="1" xfId="0" applyBorder="1" applyAlignment="1">
      <alignment vertical="center" wrapText="1"/>
    </xf>
    <xf numFmtId="2" fontId="5" fillId="5" borderId="2" xfId="0" applyNumberFormat="1" applyFont="1" applyFill="1" applyBorder="1" applyAlignment="1">
      <alignment horizontal="right" vertical="top" wrapText="1"/>
    </xf>
    <xf numFmtId="0" fontId="0" fillId="0" borderId="0" xfId="0"/>
    <xf numFmtId="2" fontId="0" fillId="0" borderId="0" xfId="0" applyNumberFormat="1"/>
    <xf numFmtId="10" fontId="2" fillId="0" borderId="0" xfId="21" applyNumberFormat="1" applyFont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7" fillId="6" borderId="0" xfId="0" applyFont="1" applyFill="1"/>
    <xf numFmtId="0" fontId="9" fillId="7" borderId="1" xfId="22" applyFont="1" applyFill="1" applyBorder="1" applyAlignment="1">
      <alignment horizontal="left"/>
      <protection/>
    </xf>
    <xf numFmtId="10" fontId="9" fillId="7" borderId="1" xfId="22" applyNumberFormat="1" applyFont="1" applyFill="1" applyBorder="1">
      <alignment/>
      <protection/>
    </xf>
    <xf numFmtId="0" fontId="10" fillId="6" borderId="1" xfId="22" applyFont="1" applyFill="1" applyBorder="1" applyAlignment="1">
      <alignment horizontal="left"/>
      <protection/>
    </xf>
    <xf numFmtId="0" fontId="10" fillId="6" borderId="1" xfId="22" applyFont="1" applyFill="1" applyBorder="1">
      <alignment/>
      <protection/>
    </xf>
    <xf numFmtId="10" fontId="10" fillId="6" borderId="1" xfId="22" applyNumberFormat="1" applyFont="1" applyFill="1" applyBorder="1">
      <alignment/>
      <protection/>
    </xf>
    <xf numFmtId="10" fontId="11" fillId="6" borderId="1" xfId="22" applyNumberFormat="1" applyFont="1" applyFill="1" applyBorder="1">
      <alignment/>
      <protection/>
    </xf>
    <xf numFmtId="0" fontId="12" fillId="7" borderId="1" xfId="22" applyFont="1" applyFill="1" applyBorder="1" applyAlignment="1">
      <alignment horizontal="left"/>
      <protection/>
    </xf>
    <xf numFmtId="0" fontId="10" fillId="6" borderId="0" xfId="22" applyFont="1" applyFill="1">
      <alignment/>
      <protection/>
    </xf>
    <xf numFmtId="0" fontId="11" fillId="6" borderId="0" xfId="0" applyFont="1" applyFill="1"/>
    <xf numFmtId="0" fontId="13" fillId="6" borderId="0" xfId="0" applyFont="1" applyFill="1"/>
    <xf numFmtId="0" fontId="14" fillId="6" borderId="0" xfId="0" applyFont="1" applyFill="1" applyAlignment="1">
      <alignment horizontal="center"/>
    </xf>
    <xf numFmtId="0" fontId="15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right" vertical="center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right" vertical="center"/>
    </xf>
    <xf numFmtId="44" fontId="15" fillId="7" borderId="1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10" fontId="0" fillId="6" borderId="0" xfId="0" applyNumberFormat="1" applyFill="1"/>
    <xf numFmtId="0" fontId="15" fillId="8" borderId="1" xfId="0" applyFont="1" applyFill="1" applyBorder="1" applyAlignment="1">
      <alignment vertical="center"/>
    </xf>
    <xf numFmtId="10" fontId="15" fillId="8" borderId="1" xfId="0" applyNumberFormat="1" applyFont="1" applyFill="1" applyBorder="1" applyAlignment="1">
      <alignment vertical="center"/>
    </xf>
    <xf numFmtId="44" fontId="15" fillId="6" borderId="1" xfId="20" applyFont="1" applyFill="1" applyBorder="1" applyAlignment="1">
      <alignment vertic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0" fillId="0" borderId="1" xfId="20" applyFont="1" applyBorder="1"/>
    <xf numFmtId="44" fontId="0" fillId="0" borderId="1" xfId="0" applyNumberFormat="1" applyBorder="1"/>
    <xf numFmtId="44" fontId="2" fillId="9" borderId="1" xfId="0" applyNumberFormat="1" applyFont="1" applyFill="1" applyBorder="1"/>
    <xf numFmtId="165" fontId="0" fillId="0" borderId="1" xfId="0" applyNumberFormat="1" applyBorder="1"/>
    <xf numFmtId="4" fontId="0" fillId="0" borderId="1" xfId="0" applyNumberFormat="1" applyBorder="1"/>
    <xf numFmtId="1" fontId="0" fillId="0" borderId="1" xfId="0" applyNumberFormat="1" applyBorder="1"/>
    <xf numFmtId="0" fontId="17" fillId="0" borderId="0" xfId="23">
      <alignment/>
      <protection/>
    </xf>
    <xf numFmtId="0" fontId="3" fillId="3" borderId="2" xfId="23" applyFont="1" applyFill="1" applyBorder="1" applyAlignment="1">
      <alignment horizontal="left" vertical="top" wrapText="1"/>
      <protection/>
    </xf>
    <xf numFmtId="0" fontId="3" fillId="3" borderId="2" xfId="23" applyFont="1" applyFill="1" applyBorder="1" applyAlignment="1">
      <alignment horizontal="center" vertical="top" wrapText="1"/>
      <protection/>
    </xf>
    <xf numFmtId="0" fontId="3" fillId="3" borderId="2" xfId="23" applyFont="1" applyFill="1" applyBorder="1" applyAlignment="1">
      <alignment horizontal="right" vertical="top" wrapText="1"/>
      <protection/>
    </xf>
    <xf numFmtId="0" fontId="5" fillId="4" borderId="2" xfId="23" applyFont="1" applyFill="1" applyBorder="1" applyAlignment="1">
      <alignment horizontal="left" vertical="top" wrapText="1"/>
      <protection/>
    </xf>
    <xf numFmtId="0" fontId="5" fillId="4" borderId="2" xfId="23" applyFont="1" applyFill="1" applyBorder="1" applyAlignment="1">
      <alignment horizontal="center" vertical="top" wrapText="1"/>
      <protection/>
    </xf>
    <xf numFmtId="0" fontId="5" fillId="4" borderId="2" xfId="23" applyFont="1" applyFill="1" applyBorder="1" applyAlignment="1">
      <alignment horizontal="right" vertical="top" wrapText="1"/>
      <protection/>
    </xf>
    <xf numFmtId="0" fontId="5" fillId="5" borderId="2" xfId="23" applyFont="1" applyFill="1" applyBorder="1" applyAlignment="1">
      <alignment horizontal="left" vertical="top" wrapText="1"/>
      <protection/>
    </xf>
    <xf numFmtId="0" fontId="5" fillId="5" borderId="2" xfId="23" applyFont="1" applyFill="1" applyBorder="1" applyAlignment="1">
      <alignment horizontal="center" vertical="top" wrapText="1"/>
      <protection/>
    </xf>
    <xf numFmtId="0" fontId="5" fillId="5" borderId="2" xfId="23" applyFont="1" applyFill="1" applyBorder="1" applyAlignment="1">
      <alignment horizontal="right" vertical="top" wrapText="1"/>
      <protection/>
    </xf>
    <xf numFmtId="44" fontId="0" fillId="0" borderId="1" xfId="20" applyNumberFormat="1" applyFont="1" applyBorder="1" applyAlignment="1">
      <alignment horizontal="center"/>
    </xf>
    <xf numFmtId="165" fontId="5" fillId="4" borderId="2" xfId="0" applyNumberFormat="1" applyFont="1" applyFill="1" applyBorder="1" applyAlignment="1">
      <alignment horizontal="right" vertical="top" wrapText="1"/>
    </xf>
    <xf numFmtId="2" fontId="5" fillId="4" borderId="2" xfId="0" applyNumberFormat="1" applyFont="1" applyFill="1" applyBorder="1" applyAlignment="1">
      <alignment horizontal="right" vertical="top" wrapText="1"/>
    </xf>
    <xf numFmtId="2" fontId="17" fillId="0" borderId="0" xfId="23" applyNumberFormat="1">
      <alignment/>
      <protection/>
    </xf>
    <xf numFmtId="44" fontId="15" fillId="0" borderId="1" xfId="0" applyNumberFormat="1" applyFont="1" applyFill="1" applyBorder="1" applyAlignment="1">
      <alignment vertical="center"/>
    </xf>
    <xf numFmtId="10" fontId="15" fillId="9" borderId="3" xfId="0" applyNumberFormat="1" applyFont="1" applyFill="1" applyBorder="1" applyAlignment="1">
      <alignment horizontal="center" vertical="center"/>
    </xf>
    <xf numFmtId="44" fontId="15" fillId="0" borderId="1" xfId="20" applyFont="1" applyFill="1" applyBorder="1" applyAlignment="1">
      <alignment vertical="center"/>
    </xf>
    <xf numFmtId="10" fontId="15" fillId="9" borderId="1" xfId="2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0" fillId="7" borderId="0" xfId="0" applyFill="1"/>
    <xf numFmtId="0" fontId="2" fillId="7" borderId="0" xfId="0" applyFont="1" applyFill="1"/>
    <xf numFmtId="0" fontId="18" fillId="0" borderId="0" xfId="0" applyFont="1"/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vertical="center"/>
    </xf>
    <xf numFmtId="0" fontId="19" fillId="10" borderId="1" xfId="0" applyFont="1" applyFill="1" applyBorder="1" applyAlignment="1">
      <alignment vertical="center" wrapText="1"/>
    </xf>
    <xf numFmtId="0" fontId="0" fillId="7" borderId="0" xfId="0" applyFill="1" applyAlignment="1">
      <alignment horizontal="left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horizontal="right"/>
    </xf>
    <xf numFmtId="2" fontId="14" fillId="0" borderId="1" xfId="0" applyNumberFormat="1" applyFont="1" applyBorder="1"/>
    <xf numFmtId="0" fontId="14" fillId="0" borderId="1" xfId="0" applyFont="1" applyBorder="1"/>
    <xf numFmtId="0" fontId="0" fillId="0" borderId="0" xfId="0"/>
    <xf numFmtId="2" fontId="0" fillId="0" borderId="0" xfId="0" applyNumberFormat="1"/>
    <xf numFmtId="0" fontId="17" fillId="0" borderId="0" xfId="23">
      <alignment/>
      <protection/>
    </xf>
    <xf numFmtId="0" fontId="0" fillId="0" borderId="0" xfId="0"/>
    <xf numFmtId="2" fontId="0" fillId="0" borderId="0" xfId="0" applyNumberFormat="1"/>
    <xf numFmtId="1" fontId="0" fillId="0" borderId="0" xfId="0" applyNumberFormat="1"/>
    <xf numFmtId="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4" fontId="15" fillId="6" borderId="4" xfId="0" applyNumberFormat="1" applyFont="1" applyFill="1" applyBorder="1" applyAlignment="1">
      <alignment horizontal="center" vertical="center"/>
    </xf>
    <xf numFmtId="44" fontId="15" fillId="6" borderId="3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horizontal="left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/>
    </xf>
    <xf numFmtId="164" fontId="14" fillId="7" borderId="3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14" fillId="7" borderId="0" xfId="0" applyFont="1" applyFill="1" applyAlignment="1">
      <alignment horizontal="center" vertical="center"/>
    </xf>
    <xf numFmtId="0" fontId="11" fillId="6" borderId="0" xfId="22" applyFont="1" applyFill="1" applyAlignment="1">
      <alignment horizontal="left" vertical="center" wrapText="1"/>
      <protection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left" wrapText="1"/>
    </xf>
    <xf numFmtId="0" fontId="8" fillId="7" borderId="5" xfId="22" applyFont="1" applyFill="1" applyBorder="1" applyAlignment="1">
      <alignment horizontal="center" vertical="center" wrapText="1"/>
      <protection/>
    </xf>
    <xf numFmtId="0" fontId="8" fillId="7" borderId="6" xfId="22" applyFont="1" applyFill="1" applyBorder="1" applyAlignment="1">
      <alignment horizontal="center" vertical="center" wrapText="1"/>
      <protection/>
    </xf>
    <xf numFmtId="0" fontId="8" fillId="7" borderId="7" xfId="22" applyFont="1" applyFill="1" applyBorder="1" applyAlignment="1">
      <alignment horizontal="center" vertical="center" wrapText="1"/>
      <protection/>
    </xf>
    <xf numFmtId="0" fontId="4" fillId="3" borderId="0" xfId="23" applyFont="1" applyFill="1" applyAlignment="1">
      <alignment horizontal="left" vertical="top" wrapText="1"/>
      <protection/>
    </xf>
    <xf numFmtId="0" fontId="1" fillId="3" borderId="0" xfId="23" applyFont="1" applyFill="1" applyAlignment="1">
      <alignment horizontal="left" vertical="top" wrapText="1"/>
      <protection/>
    </xf>
    <xf numFmtId="0" fontId="17" fillId="0" borderId="0" xfId="23">
      <alignment/>
      <protection/>
    </xf>
    <xf numFmtId="0" fontId="3" fillId="3" borderId="0" xfId="23" applyFont="1" applyFill="1" applyAlignment="1">
      <alignment horizontal="center" wrapText="1"/>
      <protection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4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17" fontId="1" fillId="3" borderId="0" xfId="0" applyNumberFormat="1" applyFont="1" applyFill="1" applyAlignment="1">
      <alignment horizontal="left" vertical="top" wrapText="1"/>
    </xf>
    <xf numFmtId="0" fontId="0" fillId="0" borderId="0" xfId="0"/>
    <xf numFmtId="0" fontId="3" fillId="3" borderId="0" xfId="0" applyFont="1" applyFill="1" applyAlignment="1">
      <alignment horizontal="center" wrapText="1"/>
    </xf>
    <xf numFmtId="2" fontId="1" fillId="3" borderId="0" xfId="0" applyNumberFormat="1" applyFont="1" applyFill="1" applyAlignment="1">
      <alignment horizontal="left" vertical="top" wrapText="1"/>
    </xf>
    <xf numFmtId="2" fontId="0" fillId="0" borderId="0" xfId="0" applyNumberFormat="1"/>
    <xf numFmtId="0" fontId="0" fillId="7" borderId="0" xfId="0" applyFill="1" applyAlignment="1">
      <alignment horizontal="left" wrapText="1"/>
    </xf>
    <xf numFmtId="0" fontId="0" fillId="0" borderId="0" xfId="0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Normal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3219450</xdr:colOff>
      <xdr:row>0</xdr:row>
      <xdr:rowOff>47625</xdr:rowOff>
    </xdr:from>
    <xdr:to>
      <xdr:col>3</xdr:col>
      <xdr:colOff>361950</xdr:colOff>
      <xdr:row>0</xdr:row>
      <xdr:rowOff>771525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7625"/>
          <a:ext cx="714375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47625</xdr:rowOff>
    </xdr:from>
    <xdr:to>
      <xdr:col>7</xdr:col>
      <xdr:colOff>1104900</xdr:colOff>
      <xdr:row>0</xdr:row>
      <xdr:rowOff>876300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47625"/>
          <a:ext cx="1762125" cy="828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0</xdr:row>
      <xdr:rowOff>85725</xdr:rowOff>
    </xdr:from>
    <xdr:to>
      <xdr:col>14</xdr:col>
      <xdr:colOff>952500</xdr:colOff>
      <xdr:row>0</xdr:row>
      <xdr:rowOff>819150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16225" y="85725"/>
          <a:ext cx="161925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876300</xdr:colOff>
      <xdr:row>0</xdr:row>
      <xdr:rowOff>47625</xdr:rowOff>
    </xdr:from>
    <xdr:to>
      <xdr:col>7</xdr:col>
      <xdr:colOff>485775</xdr:colOff>
      <xdr:row>0</xdr:row>
      <xdr:rowOff>657225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7625"/>
          <a:ext cx="7143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25</xdr:row>
      <xdr:rowOff>28575</xdr:rowOff>
    </xdr:from>
    <xdr:to>
      <xdr:col>2</xdr:col>
      <xdr:colOff>1238250</xdr:colOff>
      <xdr:row>27</xdr:row>
      <xdr:rowOff>161925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5915025"/>
          <a:ext cx="48291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28575</xdr:rowOff>
    </xdr:from>
    <xdr:to>
      <xdr:col>2</xdr:col>
      <xdr:colOff>1809750</xdr:colOff>
      <xdr:row>0</xdr:row>
      <xdr:rowOff>723900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8575"/>
          <a:ext cx="1504950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2047875</xdr:colOff>
      <xdr:row>0</xdr:row>
      <xdr:rowOff>38100</xdr:rowOff>
    </xdr:from>
    <xdr:to>
      <xdr:col>1</xdr:col>
      <xdr:colOff>2695575</xdr:colOff>
      <xdr:row>0</xdr:row>
      <xdr:rowOff>590550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38100"/>
          <a:ext cx="647700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114300</xdr:rowOff>
    </xdr:from>
    <xdr:to>
      <xdr:col>4</xdr:col>
      <xdr:colOff>561975</xdr:colOff>
      <xdr:row>4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847725" cy="790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MAIS\PLANILHA%20RAM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ORÇAMENTO"/>
      <sheetName val="MEMÓRIA DE CAL."/>
      <sheetName val="BDI"/>
      <sheetName val="LISTA DE RAMAIS "/>
      <sheetName val="LISTA DE RAMAIS  (2)"/>
      <sheetName val="CRONOGRAM."/>
      <sheetName val="CPU"/>
      <sheetName val="ENCARGOS SOCIAIS"/>
      <sheetName val="composições"/>
      <sheetName val="Composição SINAPI"/>
      <sheetName val="COMPOSIÇÃO"/>
      <sheetName val="CRONOGRAMA"/>
      <sheetName val="MEMÓRIA DE CÁLCULO"/>
      <sheetName val="Planilha1"/>
    </sheetNames>
    <sheetDataSet>
      <sheetData sheetId="0"/>
      <sheetData sheetId="1">
        <row r="1">
          <cell r="A1" t="str">
            <v>ESTADO DO PARÁ</v>
          </cell>
        </row>
        <row r="2">
          <cell r="A2" t="str">
            <v>PREFEITURA MUNICIPAL DE ABAETETUBA</v>
          </cell>
        </row>
        <row r="13">
          <cell r="C13">
            <v>1</v>
          </cell>
        </row>
        <row r="15">
          <cell r="C15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A478-A990-440A-A087-76D130E62E90}">
  <sheetPr>
    <pageSetUpPr fitToPage="1"/>
  </sheetPr>
  <dimension ref="A1:L27"/>
  <sheetViews>
    <sheetView tabSelected="1" zoomScale="86" zoomScaleNormal="86" workbookViewId="0" topLeftCell="A1">
      <selection activeCell="G22" sqref="G22"/>
    </sheetView>
  </sheetViews>
  <sheetFormatPr defaultColWidth="9.140625" defaultRowHeight="15"/>
  <cols>
    <col min="1" max="1" width="8.8515625" style="53" customWidth="1"/>
    <col min="2" max="2" width="13.140625" style="0" customWidth="1"/>
    <col min="3" max="3" width="53.57421875" style="0" customWidth="1"/>
    <col min="4" max="4" width="7.28125" style="0" customWidth="1"/>
    <col min="6" max="6" width="14.57421875" style="0" bestFit="1" customWidth="1"/>
    <col min="7" max="7" width="14.7109375" style="0" bestFit="1" customWidth="1"/>
    <col min="8" max="8" width="18.57421875" style="0" bestFit="1" customWidth="1"/>
  </cols>
  <sheetData>
    <row r="1" spans="1:8" s="11" customFormat="1" ht="71.4" customHeight="1">
      <c r="A1" s="53"/>
      <c r="B1" s="106" t="s">
        <v>111</v>
      </c>
      <c r="C1" s="106"/>
      <c r="D1" s="106"/>
      <c r="E1" s="106"/>
      <c r="F1" s="106"/>
      <c r="G1" s="106"/>
      <c r="H1" s="106"/>
    </row>
    <row r="2" spans="1:8" s="11" customFormat="1" ht="15">
      <c r="A2" s="53"/>
      <c r="B2" s="106" t="s">
        <v>112</v>
      </c>
      <c r="C2" s="106"/>
      <c r="D2" s="106"/>
      <c r="E2" s="106"/>
      <c r="F2" s="106"/>
      <c r="G2" s="106"/>
      <c r="H2" s="106"/>
    </row>
    <row r="3" spans="1:8" s="11" customFormat="1" ht="15">
      <c r="A3" s="53"/>
      <c r="B3" s="106" t="s">
        <v>113</v>
      </c>
      <c r="C3" s="106"/>
      <c r="D3" s="106"/>
      <c r="E3" s="106"/>
      <c r="F3" s="106"/>
      <c r="G3" s="106"/>
      <c r="H3" s="106"/>
    </row>
    <row r="4" s="11" customFormat="1" ht="15">
      <c r="A4" s="53"/>
    </row>
    <row r="5" spans="1:8" s="11" customFormat="1" ht="44.4" customHeight="1">
      <c r="A5" s="53"/>
      <c r="B5" s="107" t="s">
        <v>296</v>
      </c>
      <c r="C5" s="107"/>
      <c r="D5" s="107"/>
      <c r="E5" s="107"/>
      <c r="F5" s="107"/>
      <c r="G5" s="107"/>
      <c r="H5" s="107"/>
    </row>
    <row r="6" spans="1:2" s="11" customFormat="1" ht="15">
      <c r="A6" s="53"/>
      <c r="B6" s="11" t="s">
        <v>116</v>
      </c>
    </row>
    <row r="7" spans="1:3" s="11" customFormat="1" ht="15">
      <c r="A7" s="53"/>
      <c r="B7" s="26" t="s">
        <v>115</v>
      </c>
      <c r="C7" s="25">
        <v>0.2362</v>
      </c>
    </row>
    <row r="8" spans="1:8" s="11" customFormat="1" ht="15">
      <c r="A8" s="108" t="s">
        <v>114</v>
      </c>
      <c r="B8" s="108"/>
      <c r="C8" s="108"/>
      <c r="D8" s="108"/>
      <c r="E8" s="108"/>
      <c r="F8" s="108"/>
      <c r="G8" s="108"/>
      <c r="H8" s="108"/>
    </row>
    <row r="9" spans="1:8" ht="15">
      <c r="A9" s="7" t="s">
        <v>153</v>
      </c>
      <c r="B9" s="7" t="s">
        <v>0</v>
      </c>
      <c r="C9" s="7" t="s">
        <v>1</v>
      </c>
      <c r="D9" s="7" t="s">
        <v>24</v>
      </c>
      <c r="E9" s="7" t="s">
        <v>3</v>
      </c>
      <c r="F9" s="7" t="s">
        <v>29</v>
      </c>
      <c r="G9" s="7" t="s">
        <v>30</v>
      </c>
      <c r="H9" s="7" t="s">
        <v>5</v>
      </c>
    </row>
    <row r="10" spans="1:11" ht="28.8">
      <c r="A10" s="80">
        <v>1</v>
      </c>
      <c r="B10" s="21" t="s">
        <v>104</v>
      </c>
      <c r="C10" s="3" t="s">
        <v>25</v>
      </c>
      <c r="D10" s="4" t="s">
        <v>27</v>
      </c>
      <c r="E10" s="4">
        <f>7*35000</f>
        <v>245000</v>
      </c>
      <c r="F10" s="5">
        <v>8.64</v>
      </c>
      <c r="G10" s="5">
        <f aca="true" t="shared" si="0" ref="G10:G16">ROUND(F10+($C$7*F10),2)</f>
        <v>10.68</v>
      </c>
      <c r="H10" s="5">
        <f aca="true" t="shared" si="1" ref="H10:H15">E10*G10</f>
        <v>2616600</v>
      </c>
      <c r="K10">
        <f>0.5*E16</f>
        <v>6125</v>
      </c>
    </row>
    <row r="11" spans="1:8" ht="28.8">
      <c r="A11" s="80">
        <v>2</v>
      </c>
      <c r="B11" s="21" t="s">
        <v>110</v>
      </c>
      <c r="C11" s="3" t="s">
        <v>26</v>
      </c>
      <c r="D11" s="4" t="s">
        <v>27</v>
      </c>
      <c r="E11" s="4">
        <f>7*35000</f>
        <v>245000</v>
      </c>
      <c r="F11" s="5">
        <v>2.38</v>
      </c>
      <c r="G11" s="5">
        <f t="shared" si="0"/>
        <v>2.94</v>
      </c>
      <c r="H11" s="5">
        <f t="shared" si="1"/>
        <v>720300</v>
      </c>
    </row>
    <row r="12" spans="1:8" s="23" customFormat="1" ht="73.95" customHeight="1">
      <c r="A12" s="80">
        <v>3</v>
      </c>
      <c r="B12" s="21" t="s">
        <v>292</v>
      </c>
      <c r="C12" s="3" t="s">
        <v>291</v>
      </c>
      <c r="D12" s="4" t="s">
        <v>196</v>
      </c>
      <c r="E12" s="4">
        <f>35000*2</f>
        <v>70000</v>
      </c>
      <c r="F12" s="5">
        <v>103.52</v>
      </c>
      <c r="G12" s="5">
        <f t="shared" si="0"/>
        <v>127.97</v>
      </c>
      <c r="H12" s="5">
        <f t="shared" si="1"/>
        <v>8957900</v>
      </c>
    </row>
    <row r="13" spans="1:8" s="23" customFormat="1" ht="60.6" customHeight="1">
      <c r="A13" s="80">
        <v>4</v>
      </c>
      <c r="B13" s="21" t="s">
        <v>264</v>
      </c>
      <c r="C13" s="3" t="s">
        <v>225</v>
      </c>
      <c r="D13" s="4" t="s">
        <v>27</v>
      </c>
      <c r="E13" s="4">
        <f>35000*1.5*2*0.5</f>
        <v>52500</v>
      </c>
      <c r="F13" s="5">
        <v>94.99</v>
      </c>
      <c r="G13" s="5">
        <f t="shared" si="0"/>
        <v>117.43</v>
      </c>
      <c r="H13" s="5">
        <f t="shared" si="1"/>
        <v>6165075</v>
      </c>
    </row>
    <row r="14" spans="1:8" s="23" customFormat="1" ht="46.2" customHeight="1">
      <c r="A14" s="80">
        <v>5</v>
      </c>
      <c r="B14" s="6" t="s">
        <v>293</v>
      </c>
      <c r="C14" s="3" t="s">
        <v>189</v>
      </c>
      <c r="D14" s="4" t="s">
        <v>28</v>
      </c>
      <c r="E14" s="4">
        <f>E11*0.15</f>
        <v>36750</v>
      </c>
      <c r="F14" s="5">
        <v>62.93</v>
      </c>
      <c r="G14" s="5">
        <f t="shared" si="0"/>
        <v>77.79</v>
      </c>
      <c r="H14" s="72">
        <f t="shared" si="1"/>
        <v>2858782.5</v>
      </c>
    </row>
    <row r="15" spans="1:12" s="101" customFormat="1" ht="46.2" customHeight="1">
      <c r="A15" s="80">
        <v>6</v>
      </c>
      <c r="B15" s="6" t="s">
        <v>363</v>
      </c>
      <c r="C15" s="3" t="s">
        <v>343</v>
      </c>
      <c r="D15" s="4" t="s">
        <v>362</v>
      </c>
      <c r="E15" s="4">
        <f>E16*100</f>
        <v>1225000</v>
      </c>
      <c r="F15" s="5">
        <v>0.66</v>
      </c>
      <c r="G15" s="5">
        <f t="shared" si="0"/>
        <v>0.82</v>
      </c>
      <c r="H15" s="72">
        <f t="shared" si="1"/>
        <v>1004499.9999999999</v>
      </c>
      <c r="L15" s="101">
        <f>0.8*100*10</f>
        <v>800</v>
      </c>
    </row>
    <row r="16" spans="1:8" ht="28.8">
      <c r="A16" s="80">
        <v>7</v>
      </c>
      <c r="B16" s="6" t="s">
        <v>294</v>
      </c>
      <c r="C16" s="3" t="s">
        <v>364</v>
      </c>
      <c r="D16" s="4" t="s">
        <v>28</v>
      </c>
      <c r="E16" s="4">
        <f>7*35000*0.05</f>
        <v>12250</v>
      </c>
      <c r="F16" s="5">
        <f>'COMP 003'!F14</f>
        <v>1714.13</v>
      </c>
      <c r="G16" s="5">
        <f t="shared" si="0"/>
        <v>2119.01</v>
      </c>
      <c r="H16" s="5">
        <f>E16*G16</f>
        <v>25957872.500000004</v>
      </c>
    </row>
    <row r="17" spans="2:8" ht="15">
      <c r="B17" s="105" t="s">
        <v>31</v>
      </c>
      <c r="C17" s="105"/>
      <c r="D17" s="105"/>
      <c r="E17" s="105"/>
      <c r="F17" s="105"/>
      <c r="G17" s="105"/>
      <c r="H17" s="10">
        <f>SUM(H10:H16)</f>
        <v>48281030</v>
      </c>
    </row>
    <row r="20" ht="15">
      <c r="D20" s="9"/>
    </row>
    <row r="27" ht="15">
      <c r="H27">
        <f>50/2.55</f>
        <v>19.607843137254903</v>
      </c>
    </row>
  </sheetData>
  <mergeCells count="6">
    <mergeCell ref="B17:G17"/>
    <mergeCell ref="B1:H1"/>
    <mergeCell ref="B2:H2"/>
    <mergeCell ref="B3:H3"/>
    <mergeCell ref="B5:H5"/>
    <mergeCell ref="A8:H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7363-5A84-45F0-B2E9-7F2EB09855CE}">
  <sheetPr>
    <pageSetUpPr fitToPage="1"/>
  </sheetPr>
  <dimension ref="A5:P72"/>
  <sheetViews>
    <sheetView view="pageBreakPreview" zoomScale="136" zoomScaleSheetLayoutView="136" workbookViewId="0" topLeftCell="A8">
      <selection activeCell="C73" sqref="C73"/>
    </sheetView>
  </sheetViews>
  <sheetFormatPr defaultColWidth="8.8515625" defaultRowHeight="15"/>
  <cols>
    <col min="1" max="1" width="10.421875" style="82" customWidth="1"/>
    <col min="2" max="2" width="18.8515625" style="82" customWidth="1"/>
    <col min="3" max="3" width="14.8515625" style="82" customWidth="1"/>
    <col min="4" max="4" width="13.140625" style="82" customWidth="1"/>
    <col min="5" max="5" width="11.7109375" style="82" customWidth="1"/>
    <col min="6" max="6" width="12.7109375" style="82" customWidth="1"/>
    <col min="7" max="7" width="10.421875" style="82" bestFit="1" customWidth="1"/>
    <col min="8" max="8" width="10.57421875" style="82" customWidth="1"/>
    <col min="9" max="9" width="11.8515625" style="82" customWidth="1"/>
    <col min="10" max="10" width="22.7109375" style="82" customWidth="1"/>
    <col min="11" max="11" width="22.28125" style="82" customWidth="1"/>
    <col min="12" max="16384" width="8.8515625" style="82" customWidth="1"/>
  </cols>
  <sheetData>
    <row r="1" ht="15"/>
    <row r="2" ht="15"/>
    <row r="3" ht="15"/>
    <row r="4" ht="23.25" customHeight="1"/>
    <row r="5" spans="1:9" ht="15">
      <c r="A5" s="147" t="s">
        <v>112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147" t="s">
        <v>113</v>
      </c>
      <c r="B6" s="147"/>
      <c r="C6" s="147"/>
      <c r="D6" s="147"/>
      <c r="E6" s="147"/>
      <c r="F6" s="147"/>
      <c r="G6" s="147"/>
      <c r="H6" s="147"/>
      <c r="I6" s="147"/>
    </row>
    <row r="8" spans="1:9" ht="15">
      <c r="A8" s="147" t="s">
        <v>328</v>
      </c>
      <c r="B8" s="147"/>
      <c r="C8" s="147"/>
      <c r="D8" s="147"/>
      <c r="E8" s="147"/>
      <c r="F8" s="147"/>
      <c r="G8" s="147"/>
      <c r="H8" s="147"/>
      <c r="I8" s="147"/>
    </row>
    <row r="9" ht="18.6" customHeight="1"/>
    <row r="10" spans="1:9" ht="35.4" customHeight="1">
      <c r="A10" s="89" t="s">
        <v>153</v>
      </c>
      <c r="B10" s="89" t="s">
        <v>299</v>
      </c>
      <c r="C10" s="90" t="s">
        <v>300</v>
      </c>
      <c r="D10" s="89" t="s">
        <v>301</v>
      </c>
      <c r="E10" s="91" t="s">
        <v>302</v>
      </c>
      <c r="F10" s="92" t="s">
        <v>324</v>
      </c>
      <c r="G10" s="90" t="s">
        <v>325</v>
      </c>
      <c r="H10" s="90" t="s">
        <v>326</v>
      </c>
      <c r="I10" s="90" t="s">
        <v>327</v>
      </c>
    </row>
    <row r="11" spans="1:9" ht="15">
      <c r="A11" s="81">
        <v>1</v>
      </c>
      <c r="B11" s="2" t="s">
        <v>303</v>
      </c>
      <c r="C11" s="94">
        <v>40000</v>
      </c>
      <c r="D11" s="95">
        <f>E11*2.34</f>
        <v>4680</v>
      </c>
      <c r="E11" s="94">
        <f>C11*0.05</f>
        <v>2000</v>
      </c>
      <c r="F11" s="94">
        <f>C11</f>
        <v>40000</v>
      </c>
      <c r="G11" s="94">
        <f aca="true" t="shared" si="0" ref="G11:G23">C11/7*2</f>
        <v>11428.57142857143</v>
      </c>
      <c r="H11" s="94">
        <f>C11/7*1.5*0.5*2</f>
        <v>8571.428571428572</v>
      </c>
      <c r="I11" s="94">
        <f>C11*0.15</f>
        <v>6000</v>
      </c>
    </row>
    <row r="12" spans="1:16" ht="15">
      <c r="A12" s="81">
        <v>2</v>
      </c>
      <c r="B12" s="2" t="s">
        <v>304</v>
      </c>
      <c r="C12" s="94">
        <v>7000</v>
      </c>
      <c r="D12" s="95">
        <f aca="true" t="shared" si="1" ref="D12:D23">E12*2.34</f>
        <v>819</v>
      </c>
      <c r="E12" s="94">
        <f>C12*0.05</f>
        <v>350</v>
      </c>
      <c r="F12" s="94">
        <f aca="true" t="shared" si="2" ref="F12:F24">C12</f>
        <v>7000</v>
      </c>
      <c r="G12" s="94">
        <f t="shared" si="0"/>
        <v>2000</v>
      </c>
      <c r="H12" s="94">
        <f aca="true" t="shared" si="3" ref="H12:H23">C12/7*1.5*0.5*2</f>
        <v>1500</v>
      </c>
      <c r="I12" s="94">
        <f aca="true" t="shared" si="4" ref="I12:I24">C12*0.15</f>
        <v>1050</v>
      </c>
      <c r="J12" s="88"/>
      <c r="L12" s="82" t="s">
        <v>27</v>
      </c>
      <c r="M12" s="82">
        <v>175000</v>
      </c>
      <c r="N12" s="82">
        <v>8.64</v>
      </c>
      <c r="O12" s="82">
        <v>10.45</v>
      </c>
      <c r="P12" s="82">
        <v>1828749.9999999998</v>
      </c>
    </row>
    <row r="13" spans="1:16" ht="15">
      <c r="A13" s="81">
        <v>3</v>
      </c>
      <c r="B13" s="2" t="s">
        <v>305</v>
      </c>
      <c r="C13" s="94">
        <v>7000</v>
      </c>
      <c r="D13" s="95">
        <f t="shared" si="1"/>
        <v>819</v>
      </c>
      <c r="E13" s="94">
        <f aca="true" t="shared" si="5" ref="E13:E23">C13*0.05</f>
        <v>350</v>
      </c>
      <c r="F13" s="94">
        <f t="shared" si="2"/>
        <v>7000</v>
      </c>
      <c r="G13" s="94">
        <f t="shared" si="0"/>
        <v>2000</v>
      </c>
      <c r="H13" s="94">
        <f t="shared" si="3"/>
        <v>1500</v>
      </c>
      <c r="I13" s="94">
        <f t="shared" si="4"/>
        <v>1050</v>
      </c>
      <c r="J13" s="88"/>
      <c r="L13" s="82" t="s">
        <v>27</v>
      </c>
      <c r="M13" s="82">
        <v>175000</v>
      </c>
      <c r="N13" s="82">
        <v>2.38</v>
      </c>
      <c r="O13" s="82">
        <v>2.88</v>
      </c>
      <c r="P13" s="82">
        <v>504000</v>
      </c>
    </row>
    <row r="14" spans="1:16" ht="15">
      <c r="A14" s="81">
        <v>4</v>
      </c>
      <c r="B14" s="2" t="s">
        <v>306</v>
      </c>
      <c r="C14" s="94">
        <v>10000</v>
      </c>
      <c r="D14" s="95">
        <f t="shared" si="1"/>
        <v>1170</v>
      </c>
      <c r="E14" s="94">
        <f t="shared" si="5"/>
        <v>500</v>
      </c>
      <c r="F14" s="94">
        <f t="shared" si="2"/>
        <v>10000</v>
      </c>
      <c r="G14" s="94">
        <f t="shared" si="0"/>
        <v>2857.1428571428573</v>
      </c>
      <c r="H14" s="94">
        <f t="shared" si="3"/>
        <v>2142.857142857143</v>
      </c>
      <c r="I14" s="94">
        <f t="shared" si="4"/>
        <v>1500</v>
      </c>
      <c r="J14" s="88"/>
      <c r="L14" s="82" t="s">
        <v>196</v>
      </c>
      <c r="M14" s="82">
        <v>20000</v>
      </c>
      <c r="N14" s="82">
        <v>103.05</v>
      </c>
      <c r="O14" s="82">
        <v>124.66</v>
      </c>
      <c r="P14" s="82">
        <v>2493200</v>
      </c>
    </row>
    <row r="15" spans="1:16" ht="15">
      <c r="A15" s="81">
        <v>5</v>
      </c>
      <c r="B15" s="2" t="s">
        <v>307</v>
      </c>
      <c r="C15" s="94">
        <v>10000</v>
      </c>
      <c r="D15" s="95">
        <f t="shared" si="1"/>
        <v>1170</v>
      </c>
      <c r="E15" s="94">
        <f t="shared" si="5"/>
        <v>500</v>
      </c>
      <c r="F15" s="94">
        <f t="shared" si="2"/>
        <v>10000</v>
      </c>
      <c r="G15" s="94">
        <f t="shared" si="0"/>
        <v>2857.1428571428573</v>
      </c>
      <c r="H15" s="94">
        <f t="shared" si="3"/>
        <v>2142.857142857143</v>
      </c>
      <c r="I15" s="94">
        <f t="shared" si="4"/>
        <v>1500</v>
      </c>
      <c r="J15" s="88"/>
      <c r="L15" s="82" t="s">
        <v>27</v>
      </c>
      <c r="M15" s="82">
        <v>18750</v>
      </c>
      <c r="N15" s="82">
        <v>94.99</v>
      </c>
      <c r="O15" s="82">
        <v>114.91</v>
      </c>
      <c r="P15" s="82">
        <v>2154562.5</v>
      </c>
    </row>
    <row r="16" spans="1:16" ht="15">
      <c r="A16" s="81">
        <v>6</v>
      </c>
      <c r="B16" s="2" t="s">
        <v>308</v>
      </c>
      <c r="C16" s="94">
        <v>28000</v>
      </c>
      <c r="D16" s="95">
        <f t="shared" si="1"/>
        <v>3276</v>
      </c>
      <c r="E16" s="94">
        <f t="shared" si="5"/>
        <v>1400</v>
      </c>
      <c r="F16" s="94">
        <f t="shared" si="2"/>
        <v>28000</v>
      </c>
      <c r="G16" s="94">
        <f t="shared" si="0"/>
        <v>8000</v>
      </c>
      <c r="H16" s="94">
        <f t="shared" si="3"/>
        <v>6000</v>
      </c>
      <c r="I16" s="94">
        <f t="shared" si="4"/>
        <v>4200</v>
      </c>
      <c r="J16" s="88"/>
      <c r="L16" s="82" t="s">
        <v>28</v>
      </c>
      <c r="M16" s="82">
        <v>26250</v>
      </c>
      <c r="N16" s="82">
        <v>62.93</v>
      </c>
      <c r="O16" s="82">
        <v>76.13</v>
      </c>
      <c r="P16" s="82">
        <v>1998412.4999999998</v>
      </c>
    </row>
    <row r="17" spans="1:16" ht="15">
      <c r="A17" s="81">
        <v>7</v>
      </c>
      <c r="B17" s="2" t="s">
        <v>309</v>
      </c>
      <c r="C17" s="94">
        <v>30000</v>
      </c>
      <c r="D17" s="95">
        <f t="shared" si="1"/>
        <v>3510</v>
      </c>
      <c r="E17" s="94">
        <f t="shared" si="5"/>
        <v>1500</v>
      </c>
      <c r="F17" s="94">
        <f t="shared" si="2"/>
        <v>30000</v>
      </c>
      <c r="G17" s="94">
        <f t="shared" si="0"/>
        <v>8571.42857142857</v>
      </c>
      <c r="H17" s="94">
        <f t="shared" si="3"/>
        <v>6428.5714285714275</v>
      </c>
      <c r="I17" s="94">
        <f t="shared" si="4"/>
        <v>4500</v>
      </c>
      <c r="J17" s="88"/>
      <c r="L17" s="82" t="s">
        <v>28</v>
      </c>
      <c r="M17" s="82">
        <v>8750</v>
      </c>
      <c r="N17" s="82">
        <v>1612.13</v>
      </c>
      <c r="O17" s="82">
        <v>1950.19</v>
      </c>
      <c r="P17" s="82">
        <v>17064162.5</v>
      </c>
    </row>
    <row r="18" spans="1:9" ht="15">
      <c r="A18" s="81">
        <v>8</v>
      </c>
      <c r="B18" s="2" t="s">
        <v>310</v>
      </c>
      <c r="C18" s="94">
        <v>15000</v>
      </c>
      <c r="D18" s="95">
        <f t="shared" si="1"/>
        <v>1755</v>
      </c>
      <c r="E18" s="94">
        <f t="shared" si="5"/>
        <v>750</v>
      </c>
      <c r="F18" s="94">
        <f t="shared" si="2"/>
        <v>15000</v>
      </c>
      <c r="G18" s="94">
        <f t="shared" si="0"/>
        <v>4285.714285714285</v>
      </c>
      <c r="H18" s="94">
        <f t="shared" si="3"/>
        <v>3214.2857142857138</v>
      </c>
      <c r="I18" s="94">
        <f t="shared" si="4"/>
        <v>2250</v>
      </c>
    </row>
    <row r="19" spans="1:9" ht="15">
      <c r="A19" s="81">
        <v>9</v>
      </c>
      <c r="B19" s="2" t="s">
        <v>311</v>
      </c>
      <c r="C19" s="94">
        <v>14000</v>
      </c>
      <c r="D19" s="95">
        <f t="shared" si="1"/>
        <v>1638</v>
      </c>
      <c r="E19" s="94">
        <f t="shared" si="5"/>
        <v>700</v>
      </c>
      <c r="F19" s="94">
        <f t="shared" si="2"/>
        <v>14000</v>
      </c>
      <c r="G19" s="94">
        <f t="shared" si="0"/>
        <v>4000</v>
      </c>
      <c r="H19" s="94">
        <f t="shared" si="3"/>
        <v>3000</v>
      </c>
      <c r="I19" s="94">
        <f t="shared" si="4"/>
        <v>2100</v>
      </c>
    </row>
    <row r="20" spans="1:9" ht="15">
      <c r="A20" s="81">
        <v>10</v>
      </c>
      <c r="B20" s="2" t="s">
        <v>312</v>
      </c>
      <c r="C20" s="94">
        <v>30000</v>
      </c>
      <c r="D20" s="95">
        <f t="shared" si="1"/>
        <v>3510</v>
      </c>
      <c r="E20" s="94">
        <f t="shared" si="5"/>
        <v>1500</v>
      </c>
      <c r="F20" s="94">
        <f t="shared" si="2"/>
        <v>30000</v>
      </c>
      <c r="G20" s="94">
        <f t="shared" si="0"/>
        <v>8571.42857142857</v>
      </c>
      <c r="H20" s="94">
        <f t="shared" si="3"/>
        <v>6428.5714285714275</v>
      </c>
      <c r="I20" s="94">
        <f t="shared" si="4"/>
        <v>4500</v>
      </c>
    </row>
    <row r="21" spans="1:9" ht="15">
      <c r="A21" s="81">
        <v>11</v>
      </c>
      <c r="B21" s="2" t="s">
        <v>313</v>
      </c>
      <c r="C21" s="94">
        <v>20000</v>
      </c>
      <c r="D21" s="95">
        <f t="shared" si="1"/>
        <v>2340</v>
      </c>
      <c r="E21" s="94">
        <f t="shared" si="5"/>
        <v>1000</v>
      </c>
      <c r="F21" s="94">
        <f t="shared" si="2"/>
        <v>20000</v>
      </c>
      <c r="G21" s="94">
        <f t="shared" si="0"/>
        <v>5714.285714285715</v>
      </c>
      <c r="H21" s="94">
        <f t="shared" si="3"/>
        <v>4285.714285714286</v>
      </c>
      <c r="I21" s="94">
        <f t="shared" si="4"/>
        <v>3000</v>
      </c>
    </row>
    <row r="22" spans="1:9" ht="15">
      <c r="A22" s="81">
        <v>12</v>
      </c>
      <c r="B22" s="2" t="s">
        <v>314</v>
      </c>
      <c r="C22" s="94">
        <v>25000</v>
      </c>
      <c r="D22" s="95">
        <f t="shared" si="1"/>
        <v>2925</v>
      </c>
      <c r="E22" s="94">
        <f t="shared" si="5"/>
        <v>1250</v>
      </c>
      <c r="F22" s="94">
        <f t="shared" si="2"/>
        <v>25000</v>
      </c>
      <c r="G22" s="94">
        <f t="shared" si="0"/>
        <v>7142.857142857143</v>
      </c>
      <c r="H22" s="94">
        <f t="shared" si="3"/>
        <v>5357.142857142857</v>
      </c>
      <c r="I22" s="94">
        <f t="shared" si="4"/>
        <v>3750</v>
      </c>
    </row>
    <row r="23" spans="1:9" ht="15">
      <c r="A23" s="81">
        <v>13</v>
      </c>
      <c r="B23" s="2" t="s">
        <v>315</v>
      </c>
      <c r="C23" s="94">
        <v>9000</v>
      </c>
      <c r="D23" s="95">
        <f t="shared" si="1"/>
        <v>1053</v>
      </c>
      <c r="E23" s="94">
        <f t="shared" si="5"/>
        <v>450</v>
      </c>
      <c r="F23" s="94">
        <f t="shared" si="2"/>
        <v>9000</v>
      </c>
      <c r="G23" s="94">
        <f t="shared" si="0"/>
        <v>2571.4285714285716</v>
      </c>
      <c r="H23" s="94">
        <f t="shared" si="3"/>
        <v>1928.5714285714287</v>
      </c>
      <c r="I23" s="94">
        <f t="shared" si="4"/>
        <v>1350</v>
      </c>
    </row>
    <row r="24" spans="2:9" ht="15">
      <c r="B24" s="54" t="s">
        <v>5</v>
      </c>
      <c r="C24" s="96">
        <f>SUM(C11:C23)</f>
        <v>245000</v>
      </c>
      <c r="D24" s="96">
        <f>SUM(D11:D23)</f>
        <v>28665</v>
      </c>
      <c r="E24" s="96">
        <f>SUM(E11:E23)</f>
        <v>12250</v>
      </c>
      <c r="F24" s="96">
        <f t="shared" si="2"/>
        <v>245000</v>
      </c>
      <c r="G24" s="97">
        <f>C24/7*2</f>
        <v>70000</v>
      </c>
      <c r="H24" s="96">
        <f>C24/7*1.5*2*0.5</f>
        <v>52500</v>
      </c>
      <c r="I24" s="96">
        <f t="shared" si="4"/>
        <v>36750</v>
      </c>
    </row>
    <row r="25" spans="2:5" ht="15">
      <c r="B25" s="84"/>
      <c r="C25" s="85"/>
      <c r="D25" s="84"/>
      <c r="E25" s="85"/>
    </row>
    <row r="26" spans="1:9" ht="15">
      <c r="A26" s="86" t="s">
        <v>329</v>
      </c>
      <c r="B26" s="87"/>
      <c r="C26" s="87"/>
      <c r="D26" s="86"/>
      <c r="E26" s="86"/>
      <c r="F26" s="86"/>
      <c r="G26" s="86"/>
      <c r="H26" s="86"/>
      <c r="I26" s="86"/>
    </row>
    <row r="27" spans="1:3" ht="15">
      <c r="A27" s="82" t="s">
        <v>316</v>
      </c>
      <c r="B27" s="82">
        <v>6</v>
      </c>
      <c r="C27" s="82" t="s">
        <v>40</v>
      </c>
    </row>
    <row r="31" spans="1:9" ht="26.25" customHeight="1">
      <c r="A31" s="146" t="s">
        <v>333</v>
      </c>
      <c r="B31" s="146"/>
      <c r="C31" s="146"/>
      <c r="D31" s="146"/>
      <c r="E31" s="146"/>
      <c r="F31" s="146"/>
      <c r="G31" s="146"/>
      <c r="H31" s="93"/>
      <c r="I31" s="93"/>
    </row>
    <row r="32" spans="1:3" ht="15">
      <c r="A32" s="82" t="s">
        <v>317</v>
      </c>
      <c r="B32" s="83">
        <f>C24</f>
        <v>245000</v>
      </c>
      <c r="C32" s="82" t="s">
        <v>40</v>
      </c>
    </row>
    <row r="36" spans="1:9" ht="42.75" customHeight="1">
      <c r="A36" s="146" t="s">
        <v>189</v>
      </c>
      <c r="B36" s="146"/>
      <c r="C36" s="146"/>
      <c r="D36" s="146"/>
      <c r="E36" s="146"/>
      <c r="F36" s="146"/>
      <c r="G36" s="146"/>
      <c r="H36" s="93"/>
      <c r="I36" s="93"/>
    </row>
    <row r="37" spans="1:2" ht="15">
      <c r="A37" s="82" t="s">
        <v>318</v>
      </c>
      <c r="B37" s="83">
        <f>B32</f>
        <v>245000</v>
      </c>
    </row>
    <row r="38" spans="1:2" ht="15">
      <c r="A38" s="82" t="s">
        <v>319</v>
      </c>
      <c r="B38" s="82">
        <v>0.15</v>
      </c>
    </row>
    <row r="39" spans="2:3" ht="15">
      <c r="B39" s="83">
        <f>B37*B38</f>
        <v>36750</v>
      </c>
      <c r="C39" s="82" t="s">
        <v>190</v>
      </c>
    </row>
    <row r="41" spans="1:9" ht="15">
      <c r="A41" s="86" t="s">
        <v>330</v>
      </c>
      <c r="B41" s="86"/>
      <c r="C41" s="86"/>
      <c r="D41" s="86"/>
      <c r="E41" s="86"/>
      <c r="F41" s="86"/>
      <c r="G41" s="86"/>
      <c r="H41" s="86"/>
      <c r="I41" s="86"/>
    </row>
    <row r="42" spans="1:3" ht="15">
      <c r="A42" s="82" t="s">
        <v>320</v>
      </c>
      <c r="B42" s="83">
        <f>B32</f>
        <v>245000</v>
      </c>
      <c r="C42" s="82" t="s">
        <v>40</v>
      </c>
    </row>
    <row r="46" spans="1:9" ht="15">
      <c r="A46" s="86" t="s">
        <v>331</v>
      </c>
      <c r="B46" s="86"/>
      <c r="C46" s="86"/>
      <c r="D46" s="86"/>
      <c r="E46" s="86"/>
      <c r="F46" s="86"/>
      <c r="G46" s="86"/>
      <c r="H46" s="86"/>
      <c r="I46" s="86"/>
    </row>
    <row r="47" spans="1:3" ht="15">
      <c r="A47" s="82" t="s">
        <v>321</v>
      </c>
      <c r="B47" s="83">
        <f>B42</f>
        <v>245000</v>
      </c>
      <c r="C47" s="82" t="s">
        <v>40</v>
      </c>
    </row>
    <row r="51" spans="1:9" ht="29.25" customHeight="1">
      <c r="A51" s="146" t="s">
        <v>332</v>
      </c>
      <c r="B51" s="146"/>
      <c r="C51" s="146"/>
      <c r="D51" s="146"/>
      <c r="E51" s="146"/>
      <c r="F51" s="146"/>
      <c r="G51" s="146"/>
      <c r="H51" s="93"/>
      <c r="I51" s="93"/>
    </row>
    <row r="52" spans="1:3" ht="15">
      <c r="A52" s="82" t="s">
        <v>322</v>
      </c>
      <c r="B52" s="83">
        <f>B42</f>
        <v>245000</v>
      </c>
      <c r="C52" s="82" t="s">
        <v>40</v>
      </c>
    </row>
    <row r="53" spans="1:2" ht="15">
      <c r="A53" s="82" t="s">
        <v>323</v>
      </c>
      <c r="B53" s="82">
        <v>0.05</v>
      </c>
    </row>
    <row r="54" spans="2:3" ht="15">
      <c r="B54" s="83">
        <f>B52*B53</f>
        <v>12250</v>
      </c>
      <c r="C54" s="82" t="s">
        <v>190</v>
      </c>
    </row>
    <row r="56" spans="1:7" ht="15">
      <c r="A56" s="146" t="s">
        <v>334</v>
      </c>
      <c r="B56" s="146"/>
      <c r="C56" s="146"/>
      <c r="D56" s="146"/>
      <c r="E56" s="146"/>
      <c r="F56" s="146"/>
      <c r="G56" s="146"/>
    </row>
    <row r="57" spans="1:7" ht="15">
      <c r="A57" s="98" t="s">
        <v>335</v>
      </c>
      <c r="B57" s="99">
        <v>35000</v>
      </c>
      <c r="C57" s="98" t="s">
        <v>337</v>
      </c>
      <c r="D57" s="98"/>
      <c r="E57" s="98"/>
      <c r="F57" s="98"/>
      <c r="G57" s="98"/>
    </row>
    <row r="58" spans="1:7" ht="15">
      <c r="A58" s="98" t="s">
        <v>336</v>
      </c>
      <c r="B58" s="98">
        <v>2</v>
      </c>
      <c r="C58" s="98"/>
      <c r="D58" s="98"/>
      <c r="E58" s="98"/>
      <c r="F58" s="98"/>
      <c r="G58" s="98"/>
    </row>
    <row r="59" spans="1:7" ht="15">
      <c r="A59" s="98"/>
      <c r="B59" s="99">
        <f>B57*B58</f>
        <v>70000</v>
      </c>
      <c r="C59" s="98" t="s">
        <v>337</v>
      </c>
      <c r="D59" s="98"/>
      <c r="E59" s="98"/>
      <c r="F59" s="98"/>
      <c r="G59" s="98"/>
    </row>
    <row r="60" s="98" customFormat="1" ht="15">
      <c r="B60" s="99"/>
    </row>
    <row r="61" spans="1:7" ht="15">
      <c r="A61" s="146" t="s">
        <v>225</v>
      </c>
      <c r="B61" s="146"/>
      <c r="C61" s="146"/>
      <c r="D61" s="146"/>
      <c r="E61" s="146"/>
      <c r="F61" s="146"/>
      <c r="G61" s="146"/>
    </row>
    <row r="62" spans="1:7" ht="15">
      <c r="A62" s="98" t="s">
        <v>335</v>
      </c>
      <c r="B62" s="99">
        <v>35000</v>
      </c>
      <c r="C62" s="98" t="s">
        <v>337</v>
      </c>
      <c r="D62" s="98"/>
      <c r="E62" s="98"/>
      <c r="F62" s="98"/>
      <c r="G62" s="98"/>
    </row>
    <row r="63" spans="1:7" ht="15">
      <c r="A63" s="98" t="s">
        <v>338</v>
      </c>
      <c r="B63" s="98">
        <v>1.5</v>
      </c>
      <c r="C63" s="98" t="s">
        <v>337</v>
      </c>
      <c r="D63" s="98"/>
      <c r="E63" s="98"/>
      <c r="F63" s="98"/>
      <c r="G63" s="98"/>
    </row>
    <row r="64" spans="1:7" ht="15">
      <c r="A64" s="98" t="s">
        <v>339</v>
      </c>
      <c r="B64" s="103">
        <v>2</v>
      </c>
      <c r="C64" s="98"/>
      <c r="D64" s="98"/>
      <c r="E64" s="98"/>
      <c r="F64" s="98"/>
      <c r="G64" s="98"/>
    </row>
    <row r="65" spans="1:2" ht="15">
      <c r="A65" s="82" t="s">
        <v>340</v>
      </c>
      <c r="B65" s="104">
        <v>0.5</v>
      </c>
    </row>
    <row r="66" spans="2:3" ht="15">
      <c r="B66" s="82">
        <f>B62*B63*B64*B65</f>
        <v>52500</v>
      </c>
      <c r="C66" s="82" t="s">
        <v>40</v>
      </c>
    </row>
    <row r="67" spans="1:7" ht="15">
      <c r="A67" s="146" t="s">
        <v>343</v>
      </c>
      <c r="B67" s="146"/>
      <c r="C67" s="146"/>
      <c r="D67" s="146"/>
      <c r="E67" s="146"/>
      <c r="F67" s="146"/>
      <c r="G67" s="146"/>
    </row>
    <row r="68" spans="1:7" ht="15">
      <c r="A68" s="101" t="s">
        <v>367</v>
      </c>
      <c r="B68" s="102">
        <v>100</v>
      </c>
      <c r="C68" s="101" t="s">
        <v>368</v>
      </c>
      <c r="D68" s="101"/>
      <c r="E68" s="101"/>
      <c r="F68" s="101"/>
      <c r="G68" s="101"/>
    </row>
    <row r="69" spans="1:7" ht="15">
      <c r="A69" s="101" t="s">
        <v>369</v>
      </c>
      <c r="B69" s="101">
        <v>12250</v>
      </c>
      <c r="C69" s="101" t="s">
        <v>190</v>
      </c>
      <c r="D69" s="101"/>
      <c r="E69" s="101"/>
      <c r="F69" s="101"/>
      <c r="G69" s="101"/>
    </row>
    <row r="70" spans="1:7" ht="15">
      <c r="A70" s="101" t="s">
        <v>5</v>
      </c>
      <c r="B70" s="103">
        <f>B68*B69</f>
        <v>1225000</v>
      </c>
      <c r="C70" s="101" t="s">
        <v>361</v>
      </c>
      <c r="D70" s="101"/>
      <c r="E70" s="101"/>
      <c r="F70" s="101"/>
      <c r="G70" s="101"/>
    </row>
    <row r="71" spans="1:7" ht="15">
      <c r="A71" s="101"/>
      <c r="B71" s="104"/>
      <c r="C71" s="101"/>
      <c r="D71" s="101"/>
      <c r="E71" s="101"/>
      <c r="F71" s="101"/>
      <c r="G71" s="101"/>
    </row>
    <row r="72" spans="1:7" ht="15">
      <c r="A72" s="101"/>
      <c r="B72" s="101"/>
      <c r="C72" s="101"/>
      <c r="D72" s="101"/>
      <c r="E72" s="101"/>
      <c r="F72" s="101"/>
      <c r="G72" s="101"/>
    </row>
  </sheetData>
  <mergeCells count="9">
    <mergeCell ref="A67:G67"/>
    <mergeCell ref="A56:G56"/>
    <mergeCell ref="A61:G61"/>
    <mergeCell ref="A51:G51"/>
    <mergeCell ref="A5:I5"/>
    <mergeCell ref="A6:I6"/>
    <mergeCell ref="A8:I8"/>
    <mergeCell ref="A31:G31"/>
    <mergeCell ref="A36:G3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4" r:id="rId2"/>
  <rowBreaks count="1" manualBreakCount="1">
    <brk id="35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FE585-2C95-48E0-81AC-1E30630638BC}">
  <sheetPr>
    <pageSetUpPr fitToPage="1"/>
  </sheetPr>
  <dimension ref="A1:J12"/>
  <sheetViews>
    <sheetView showOutlineSymbols="0" workbookViewId="0" topLeftCell="A1">
      <selection activeCell="C3" sqref="C3:J3"/>
    </sheetView>
  </sheetViews>
  <sheetFormatPr defaultColWidth="9.140625" defaultRowHeight="15"/>
  <cols>
    <col min="1" max="1" width="3.28125" style="100" bestFit="1" customWidth="1"/>
    <col min="2" max="2" width="11.140625" style="100" bestFit="1" customWidth="1"/>
    <col min="3" max="3" width="66.7109375" style="100" bestFit="1" customWidth="1"/>
    <col min="4" max="4" width="33.28125" style="100" bestFit="1" customWidth="1"/>
    <col min="5" max="5" width="11.140625" style="100" bestFit="1" customWidth="1"/>
    <col min="6" max="10" width="13.28125" style="100" bestFit="1" customWidth="1"/>
    <col min="11" max="16384" width="8.8515625" style="100" customWidth="1"/>
  </cols>
  <sheetData>
    <row r="1" spans="1:10" ht="15">
      <c r="A1" s="133" t="s">
        <v>341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>
      <c r="A2" s="130" t="s">
        <v>32</v>
      </c>
      <c r="B2" s="131"/>
      <c r="C2" s="131" t="s">
        <v>342</v>
      </c>
      <c r="D2" s="132"/>
      <c r="E2" s="132"/>
      <c r="F2" s="132"/>
      <c r="G2" s="132"/>
      <c r="H2" s="132"/>
      <c r="I2" s="132"/>
      <c r="J2" s="132"/>
    </row>
    <row r="3" spans="1:10" ht="15">
      <c r="A3" s="130" t="s">
        <v>33</v>
      </c>
      <c r="B3" s="131"/>
      <c r="C3" s="131" t="s">
        <v>343</v>
      </c>
      <c r="D3" s="132"/>
      <c r="E3" s="132"/>
      <c r="F3" s="132"/>
      <c r="G3" s="132"/>
      <c r="H3" s="132"/>
      <c r="I3" s="132"/>
      <c r="J3" s="132"/>
    </row>
    <row r="4" spans="1:10" ht="15">
      <c r="A4" s="130" t="s">
        <v>34</v>
      </c>
      <c r="B4" s="131"/>
      <c r="C4" s="131" t="s">
        <v>344</v>
      </c>
      <c r="D4" s="132"/>
      <c r="E4" s="132"/>
      <c r="F4" s="132"/>
      <c r="G4" s="132"/>
      <c r="H4" s="132"/>
      <c r="I4" s="132"/>
      <c r="J4" s="132"/>
    </row>
    <row r="5" spans="1:10" ht="15">
      <c r="A5" s="130" t="s">
        <v>35</v>
      </c>
      <c r="B5" s="131"/>
      <c r="C5" s="131" t="s">
        <v>36</v>
      </c>
      <c r="D5" s="132"/>
      <c r="E5" s="132"/>
      <c r="F5" s="132"/>
      <c r="G5" s="132"/>
      <c r="H5" s="132"/>
      <c r="I5" s="132"/>
      <c r="J5" s="132"/>
    </row>
    <row r="6" spans="1:10" ht="15">
      <c r="A6" s="130" t="s">
        <v>37</v>
      </c>
      <c r="B6" s="131"/>
      <c r="C6" s="131" t="s">
        <v>345</v>
      </c>
      <c r="D6" s="132"/>
      <c r="E6" s="132"/>
      <c r="F6" s="132"/>
      <c r="G6" s="132"/>
      <c r="H6" s="132"/>
      <c r="I6" s="132"/>
      <c r="J6" s="132"/>
    </row>
    <row r="7" spans="1:10" ht="15">
      <c r="A7" s="130" t="s">
        <v>39</v>
      </c>
      <c r="B7" s="131"/>
      <c r="C7" s="131" t="s">
        <v>179</v>
      </c>
      <c r="D7" s="132"/>
      <c r="E7" s="132"/>
      <c r="F7" s="132"/>
      <c r="G7" s="132"/>
      <c r="H7" s="132"/>
      <c r="I7" s="132"/>
      <c r="J7" s="132"/>
    </row>
    <row r="8" spans="1:10" ht="15">
      <c r="A8" s="130" t="s">
        <v>41</v>
      </c>
      <c r="B8" s="131"/>
      <c r="C8" s="131" t="s">
        <v>346</v>
      </c>
      <c r="D8" s="132"/>
      <c r="E8" s="132"/>
      <c r="F8" s="132"/>
      <c r="G8" s="132"/>
      <c r="H8" s="132"/>
      <c r="I8" s="132"/>
      <c r="J8" s="132"/>
    </row>
    <row r="9" spans="1:10" ht="15">
      <c r="A9" s="130" t="s">
        <v>42</v>
      </c>
      <c r="B9" s="131"/>
      <c r="C9" s="131" t="s">
        <v>347</v>
      </c>
      <c r="D9" s="132"/>
      <c r="E9" s="132"/>
      <c r="F9" s="132"/>
      <c r="G9" s="132"/>
      <c r="H9" s="132"/>
      <c r="I9" s="132"/>
      <c r="J9" s="132"/>
    </row>
    <row r="10" spans="1:10" ht="30" customHeight="1">
      <c r="A10" s="63"/>
      <c r="B10" s="63" t="s">
        <v>43</v>
      </c>
      <c r="C10" s="63" t="s">
        <v>33</v>
      </c>
      <c r="D10" s="63" t="s">
        <v>37</v>
      </c>
      <c r="E10" s="64" t="s">
        <v>39</v>
      </c>
      <c r="F10" s="65" t="s">
        <v>41</v>
      </c>
      <c r="G10" s="65" t="s">
        <v>42</v>
      </c>
      <c r="H10" s="65" t="s">
        <v>44</v>
      </c>
      <c r="I10" s="65" t="s">
        <v>41</v>
      </c>
      <c r="J10" s="65" t="s">
        <v>42</v>
      </c>
    </row>
    <row r="11" spans="1:10" ht="54.6" customHeight="1">
      <c r="A11" s="66" t="s">
        <v>45</v>
      </c>
      <c r="B11" s="66" t="s">
        <v>348</v>
      </c>
      <c r="C11" s="66" t="s">
        <v>349</v>
      </c>
      <c r="D11" s="66" t="s">
        <v>48</v>
      </c>
      <c r="E11" s="67" t="s">
        <v>17</v>
      </c>
      <c r="F11" s="68" t="s">
        <v>350</v>
      </c>
      <c r="G11" s="68" t="s">
        <v>351</v>
      </c>
      <c r="H11" s="68" t="s">
        <v>352</v>
      </c>
      <c r="I11" s="68" t="s">
        <v>353</v>
      </c>
      <c r="J11" s="68" t="s">
        <v>354</v>
      </c>
    </row>
    <row r="12" spans="1:10" ht="48" customHeight="1">
      <c r="A12" s="66" t="s">
        <v>45</v>
      </c>
      <c r="B12" s="66" t="s">
        <v>355</v>
      </c>
      <c r="C12" s="66" t="s">
        <v>356</v>
      </c>
      <c r="D12" s="66" t="s">
        <v>48</v>
      </c>
      <c r="E12" s="67" t="s">
        <v>18</v>
      </c>
      <c r="F12" s="68" t="s">
        <v>357</v>
      </c>
      <c r="G12" s="68" t="s">
        <v>358</v>
      </c>
      <c r="H12" s="68" t="s">
        <v>359</v>
      </c>
      <c r="I12" s="68" t="s">
        <v>360</v>
      </c>
      <c r="J12" s="68" t="s">
        <v>360</v>
      </c>
    </row>
  </sheetData>
  <mergeCells count="17">
    <mergeCell ref="A4:B4"/>
    <mergeCell ref="C4:J4"/>
    <mergeCell ref="A1:J1"/>
    <mergeCell ref="A2:B2"/>
    <mergeCell ref="C2:J2"/>
    <mergeCell ref="A3:B3"/>
    <mergeCell ref="C3:J3"/>
    <mergeCell ref="A8:B8"/>
    <mergeCell ref="C8:J8"/>
    <mergeCell ref="A9:B9"/>
    <mergeCell ref="C9:J9"/>
    <mergeCell ref="A5:B5"/>
    <mergeCell ref="C5:J5"/>
    <mergeCell ref="A6:B6"/>
    <mergeCell ref="C6:J6"/>
    <mergeCell ref="A7:B7"/>
    <mergeCell ref="C7:J7"/>
  </mergeCells>
  <printOptions/>
  <pageMargins left="0.5" right="0.5" top="1" bottom="1" header="0.5" footer="0.5"/>
  <pageSetup fitToHeight="0" fitToWidth="1" horizontalDpi="600" verticalDpi="600" orientation="landscape" paperSize="9" scale="70" r:id="rId1"/>
  <headerFooter>
    <oddHeader xml:space="preserve">&amp;CMinha Empresa
CNPJ: </oddHeader>
    <oddFooter>&amp;C  -  -  / 
(91) 9824-61573 / marcusfprado@hotmail.com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D7B7-B498-4B2A-8F4E-5810BF254444}">
  <dimension ref="A1:O27"/>
  <sheetViews>
    <sheetView view="pageBreakPreview" zoomScale="87" zoomScaleSheetLayoutView="87" workbookViewId="0" topLeftCell="A1">
      <selection activeCell="M14" sqref="M14"/>
    </sheetView>
  </sheetViews>
  <sheetFormatPr defaultColWidth="9.140625" defaultRowHeight="15"/>
  <cols>
    <col min="1" max="1" width="9.140625" style="27" customWidth="1"/>
    <col min="2" max="2" width="36.7109375" style="27" customWidth="1"/>
    <col min="3" max="3" width="16.57421875" style="27" bestFit="1" customWidth="1"/>
    <col min="4" max="5" width="15.57421875" style="27" bestFit="1" customWidth="1"/>
    <col min="6" max="14" width="16.57421875" style="27" bestFit="1" customWidth="1"/>
    <col min="15" max="15" width="17.8515625" style="27" bestFit="1" customWidth="1"/>
    <col min="16" max="16" width="13.28125" style="27" bestFit="1" customWidth="1"/>
    <col min="17" max="16384" width="9.140625" style="27" customWidth="1"/>
  </cols>
  <sheetData>
    <row r="1" spans="1:15" ht="64.5" customHeight="1">
      <c r="A1" s="122" t="str">
        <f>'[1]ORÇAMENTO'!$A$1</f>
        <v>ESTADO DO PARÁ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5">
      <c r="A2" s="122" t="str">
        <f>'[1]ORÇAMENTO'!$A$2</f>
        <v>PREFEITURA MUNICIPAL DE ABAETETUBA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5">
      <c r="A3" s="122" t="s">
        <v>113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8" ht="39.75" customHeight="1">
      <c r="A5" s="115" t="s">
        <v>297</v>
      </c>
      <c r="B5" s="115"/>
      <c r="C5" s="115"/>
      <c r="D5" s="115"/>
      <c r="E5" s="115"/>
      <c r="F5" s="115"/>
      <c r="G5" s="115"/>
      <c r="H5" s="115"/>
    </row>
    <row r="7" spans="1:15" ht="15">
      <c r="A7" s="123" t="s">
        <v>152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5">
      <c r="A8" s="120" t="s">
        <v>153</v>
      </c>
      <c r="B8" s="120" t="s">
        <v>1</v>
      </c>
      <c r="C8" s="120" t="s">
        <v>154</v>
      </c>
      <c r="D8" s="118" t="s">
        <v>155</v>
      </c>
      <c r="E8" s="118" t="s">
        <v>156</v>
      </c>
      <c r="F8" s="118" t="s">
        <v>157</v>
      </c>
      <c r="G8" s="118" t="s">
        <v>158</v>
      </c>
      <c r="H8" s="118" t="s">
        <v>159</v>
      </c>
      <c r="I8" s="118" t="s">
        <v>160</v>
      </c>
      <c r="J8" s="118" t="s">
        <v>163</v>
      </c>
      <c r="K8" s="118" t="s">
        <v>164</v>
      </c>
      <c r="L8" s="118" t="s">
        <v>165</v>
      </c>
      <c r="M8" s="118" t="s">
        <v>166</v>
      </c>
      <c r="N8" s="118" t="s">
        <v>167</v>
      </c>
      <c r="O8" s="118" t="s">
        <v>168</v>
      </c>
    </row>
    <row r="9" spans="1:15" ht="15">
      <c r="A9" s="121"/>
      <c r="B9" s="121"/>
      <c r="C9" s="121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5" ht="15">
      <c r="A10" s="109">
        <f>'[1]ORÇAMENTO'!C13</f>
        <v>1</v>
      </c>
      <c r="B10" s="116" t="str">
        <f>'PLANILHA ORÇ'!C10</f>
        <v>EXECUÇÃO DE IMPRIMAÇÃO COM ASFALTO DILUÍDO CM-30.</v>
      </c>
      <c r="C10" s="113">
        <f>'PLANILHA ORÇ'!H10</f>
        <v>2616600</v>
      </c>
      <c r="D10" s="77">
        <f>1/12</f>
        <v>0.08333333333333333</v>
      </c>
      <c r="E10" s="77">
        <f>1/12</f>
        <v>0.08333333333333333</v>
      </c>
      <c r="F10" s="77">
        <f aca="true" t="shared" si="0" ref="F10:O10">1/12</f>
        <v>0.08333333333333333</v>
      </c>
      <c r="G10" s="77">
        <f t="shared" si="0"/>
        <v>0.08333333333333333</v>
      </c>
      <c r="H10" s="77">
        <f t="shared" si="0"/>
        <v>0.08333333333333333</v>
      </c>
      <c r="I10" s="77">
        <f t="shared" si="0"/>
        <v>0.08333333333333333</v>
      </c>
      <c r="J10" s="77">
        <f t="shared" si="0"/>
        <v>0.08333333333333333</v>
      </c>
      <c r="K10" s="77">
        <f t="shared" si="0"/>
        <v>0.08333333333333333</v>
      </c>
      <c r="L10" s="77">
        <f t="shared" si="0"/>
        <v>0.08333333333333333</v>
      </c>
      <c r="M10" s="77">
        <f t="shared" si="0"/>
        <v>0.08333333333333333</v>
      </c>
      <c r="N10" s="77">
        <f t="shared" si="0"/>
        <v>0.08333333333333333</v>
      </c>
      <c r="O10" s="77">
        <f t="shared" si="0"/>
        <v>0.08333333333333333</v>
      </c>
    </row>
    <row r="11" spans="1:15" ht="27.6" customHeight="1">
      <c r="A11" s="110"/>
      <c r="B11" s="117"/>
      <c r="C11" s="114"/>
      <c r="D11" s="78">
        <f>$C$10*D10</f>
        <v>218050</v>
      </c>
      <c r="E11" s="78">
        <f aca="true" t="shared" si="1" ref="E11:O11">$C$10*E10</f>
        <v>218050</v>
      </c>
      <c r="F11" s="78">
        <f t="shared" si="1"/>
        <v>218050</v>
      </c>
      <c r="G11" s="78">
        <f t="shared" si="1"/>
        <v>218050</v>
      </c>
      <c r="H11" s="78">
        <f t="shared" si="1"/>
        <v>218050</v>
      </c>
      <c r="I11" s="78">
        <f t="shared" si="1"/>
        <v>218050</v>
      </c>
      <c r="J11" s="78">
        <f t="shared" si="1"/>
        <v>218050</v>
      </c>
      <c r="K11" s="78">
        <f t="shared" si="1"/>
        <v>218050</v>
      </c>
      <c r="L11" s="78">
        <f t="shared" si="1"/>
        <v>218050</v>
      </c>
      <c r="M11" s="78">
        <f t="shared" si="1"/>
        <v>218050</v>
      </c>
      <c r="N11" s="78">
        <f t="shared" si="1"/>
        <v>218050</v>
      </c>
      <c r="O11" s="78">
        <f t="shared" si="1"/>
        <v>218050</v>
      </c>
    </row>
    <row r="12" spans="1:15" ht="16.2" customHeight="1">
      <c r="A12" s="109">
        <f>'[1]ORÇAMENTO'!C15</f>
        <v>2</v>
      </c>
      <c r="B12" s="116" t="str">
        <f>'PLANILHA ORÇ'!C11</f>
        <v>EXECUÇÃO DE PINTURA DE LIGAÇÃO COM EMULSÃO ASFÁLTICA RR-2C.</v>
      </c>
      <c r="C12" s="113">
        <f>'PLANILHA ORÇ'!H11</f>
        <v>720300</v>
      </c>
      <c r="D12" s="79">
        <f>1/12</f>
        <v>0.08333333333333333</v>
      </c>
      <c r="E12" s="79">
        <f aca="true" t="shared" si="2" ref="E12:O12">1/12</f>
        <v>0.08333333333333333</v>
      </c>
      <c r="F12" s="79">
        <f t="shared" si="2"/>
        <v>0.08333333333333333</v>
      </c>
      <c r="G12" s="79">
        <f t="shared" si="2"/>
        <v>0.08333333333333333</v>
      </c>
      <c r="H12" s="79">
        <f t="shared" si="2"/>
        <v>0.08333333333333333</v>
      </c>
      <c r="I12" s="79">
        <f t="shared" si="2"/>
        <v>0.08333333333333333</v>
      </c>
      <c r="J12" s="79">
        <f t="shared" si="2"/>
        <v>0.08333333333333333</v>
      </c>
      <c r="K12" s="79">
        <f t="shared" si="2"/>
        <v>0.08333333333333333</v>
      </c>
      <c r="L12" s="79">
        <f t="shared" si="2"/>
        <v>0.08333333333333333</v>
      </c>
      <c r="M12" s="79">
        <f t="shared" si="2"/>
        <v>0.08333333333333333</v>
      </c>
      <c r="N12" s="79">
        <f t="shared" si="2"/>
        <v>0.08333333333333333</v>
      </c>
      <c r="O12" s="79">
        <f t="shared" si="2"/>
        <v>0.08333333333333333</v>
      </c>
    </row>
    <row r="13" spans="1:15" ht="27.6" customHeight="1">
      <c r="A13" s="110"/>
      <c r="B13" s="117"/>
      <c r="C13" s="114"/>
      <c r="D13" s="78">
        <f>D12*$C$12</f>
        <v>60025</v>
      </c>
      <c r="E13" s="78">
        <f aca="true" t="shared" si="3" ref="E13:O13">E12*$C$12</f>
        <v>60025</v>
      </c>
      <c r="F13" s="78">
        <f t="shared" si="3"/>
        <v>60025</v>
      </c>
      <c r="G13" s="78">
        <f t="shared" si="3"/>
        <v>60025</v>
      </c>
      <c r="H13" s="78">
        <f t="shared" si="3"/>
        <v>60025</v>
      </c>
      <c r="I13" s="78">
        <f t="shared" si="3"/>
        <v>60025</v>
      </c>
      <c r="J13" s="78">
        <f t="shared" si="3"/>
        <v>60025</v>
      </c>
      <c r="K13" s="78">
        <f t="shared" si="3"/>
        <v>60025</v>
      </c>
      <c r="L13" s="78">
        <f t="shared" si="3"/>
        <v>60025</v>
      </c>
      <c r="M13" s="78">
        <f t="shared" si="3"/>
        <v>60025</v>
      </c>
      <c r="N13" s="78">
        <f t="shared" si="3"/>
        <v>60025</v>
      </c>
      <c r="O13" s="78">
        <f t="shared" si="3"/>
        <v>60025</v>
      </c>
    </row>
    <row r="14" spans="1:15" ht="19.2" customHeight="1">
      <c r="A14" s="109">
        <v>3</v>
      </c>
      <c r="B14" s="111" t="s">
        <v>291</v>
      </c>
      <c r="C14" s="113">
        <f>'PLANILHA ORÇ'!H12</f>
        <v>8957900</v>
      </c>
      <c r="D14" s="79">
        <f>1/12</f>
        <v>0.08333333333333333</v>
      </c>
      <c r="E14" s="79">
        <f aca="true" t="shared" si="4" ref="E14:O14">1/12</f>
        <v>0.08333333333333333</v>
      </c>
      <c r="F14" s="79">
        <f t="shared" si="4"/>
        <v>0.08333333333333333</v>
      </c>
      <c r="G14" s="79">
        <f t="shared" si="4"/>
        <v>0.08333333333333333</v>
      </c>
      <c r="H14" s="79">
        <f t="shared" si="4"/>
        <v>0.08333333333333333</v>
      </c>
      <c r="I14" s="79">
        <f t="shared" si="4"/>
        <v>0.08333333333333333</v>
      </c>
      <c r="J14" s="79">
        <f t="shared" si="4"/>
        <v>0.08333333333333333</v>
      </c>
      <c r="K14" s="79">
        <f t="shared" si="4"/>
        <v>0.08333333333333333</v>
      </c>
      <c r="L14" s="79">
        <f t="shared" si="4"/>
        <v>0.08333333333333333</v>
      </c>
      <c r="M14" s="79">
        <f t="shared" si="4"/>
        <v>0.08333333333333333</v>
      </c>
      <c r="N14" s="79">
        <f t="shared" si="4"/>
        <v>0.08333333333333333</v>
      </c>
      <c r="O14" s="79">
        <f t="shared" si="4"/>
        <v>0.08333333333333333</v>
      </c>
    </row>
    <row r="15" spans="1:15" ht="99" customHeight="1">
      <c r="A15" s="110"/>
      <c r="B15" s="112"/>
      <c r="C15" s="114"/>
      <c r="D15" s="52">
        <f>$C$14*D14</f>
        <v>746491.6666666666</v>
      </c>
      <c r="E15" s="52">
        <f aca="true" t="shared" si="5" ref="E15:O15">$C$14*E14</f>
        <v>746491.6666666666</v>
      </c>
      <c r="F15" s="52">
        <f t="shared" si="5"/>
        <v>746491.6666666666</v>
      </c>
      <c r="G15" s="52">
        <f t="shared" si="5"/>
        <v>746491.6666666666</v>
      </c>
      <c r="H15" s="52">
        <f t="shared" si="5"/>
        <v>746491.6666666666</v>
      </c>
      <c r="I15" s="52">
        <f t="shared" si="5"/>
        <v>746491.6666666666</v>
      </c>
      <c r="J15" s="52">
        <f t="shared" si="5"/>
        <v>746491.6666666666</v>
      </c>
      <c r="K15" s="52">
        <f t="shared" si="5"/>
        <v>746491.6666666666</v>
      </c>
      <c r="L15" s="52">
        <f t="shared" si="5"/>
        <v>746491.6666666666</v>
      </c>
      <c r="M15" s="52">
        <f t="shared" si="5"/>
        <v>746491.6666666666</v>
      </c>
      <c r="N15" s="52">
        <f t="shared" si="5"/>
        <v>746491.6666666666</v>
      </c>
      <c r="O15" s="52">
        <f t="shared" si="5"/>
        <v>746491.6666666666</v>
      </c>
    </row>
    <row r="16" spans="1:15" ht="17.4" customHeight="1">
      <c r="A16" s="109">
        <v>4</v>
      </c>
      <c r="B16" s="111" t="s">
        <v>225</v>
      </c>
      <c r="C16" s="113">
        <f>'PLANILHA ORÇ'!H13</f>
        <v>6165075</v>
      </c>
      <c r="D16" s="79">
        <f>1/12</f>
        <v>0.08333333333333333</v>
      </c>
      <c r="E16" s="79">
        <f aca="true" t="shared" si="6" ref="E16:O16">1/12</f>
        <v>0.08333333333333333</v>
      </c>
      <c r="F16" s="79">
        <f t="shared" si="6"/>
        <v>0.08333333333333333</v>
      </c>
      <c r="G16" s="79">
        <f t="shared" si="6"/>
        <v>0.08333333333333333</v>
      </c>
      <c r="H16" s="79">
        <f t="shared" si="6"/>
        <v>0.08333333333333333</v>
      </c>
      <c r="I16" s="79">
        <f t="shared" si="6"/>
        <v>0.08333333333333333</v>
      </c>
      <c r="J16" s="79">
        <f t="shared" si="6"/>
        <v>0.08333333333333333</v>
      </c>
      <c r="K16" s="79">
        <f t="shared" si="6"/>
        <v>0.08333333333333333</v>
      </c>
      <c r="L16" s="79">
        <f t="shared" si="6"/>
        <v>0.08333333333333333</v>
      </c>
      <c r="M16" s="79">
        <f t="shared" si="6"/>
        <v>0.08333333333333333</v>
      </c>
      <c r="N16" s="79">
        <f t="shared" si="6"/>
        <v>0.08333333333333333</v>
      </c>
      <c r="O16" s="79">
        <f t="shared" si="6"/>
        <v>0.08333333333333333</v>
      </c>
    </row>
    <row r="17" spans="1:15" ht="57" customHeight="1">
      <c r="A17" s="110"/>
      <c r="B17" s="112"/>
      <c r="C17" s="114"/>
      <c r="D17" s="52">
        <f>$C$16*D16</f>
        <v>513756.25</v>
      </c>
      <c r="E17" s="52">
        <f aca="true" t="shared" si="7" ref="E17:O17">$C$16*E16</f>
        <v>513756.25</v>
      </c>
      <c r="F17" s="52">
        <f t="shared" si="7"/>
        <v>513756.25</v>
      </c>
      <c r="G17" s="52">
        <f t="shared" si="7"/>
        <v>513756.25</v>
      </c>
      <c r="H17" s="52">
        <f t="shared" si="7"/>
        <v>513756.25</v>
      </c>
      <c r="I17" s="52">
        <f t="shared" si="7"/>
        <v>513756.25</v>
      </c>
      <c r="J17" s="52">
        <f t="shared" si="7"/>
        <v>513756.25</v>
      </c>
      <c r="K17" s="52">
        <f t="shared" si="7"/>
        <v>513756.25</v>
      </c>
      <c r="L17" s="52">
        <f t="shared" si="7"/>
        <v>513756.25</v>
      </c>
      <c r="M17" s="52">
        <f t="shared" si="7"/>
        <v>513756.25</v>
      </c>
      <c r="N17" s="52">
        <f t="shared" si="7"/>
        <v>513756.25</v>
      </c>
      <c r="O17" s="52">
        <f t="shared" si="7"/>
        <v>513756.25</v>
      </c>
    </row>
    <row r="18" spans="1:15" ht="17.4" customHeight="1">
      <c r="A18" s="109">
        <v>5</v>
      </c>
      <c r="B18" s="111" t="s">
        <v>189</v>
      </c>
      <c r="C18" s="113">
        <f>'PLANILHA ORÇ'!H14</f>
        <v>2858782.5</v>
      </c>
      <c r="D18" s="79">
        <f>1/12</f>
        <v>0.08333333333333333</v>
      </c>
      <c r="E18" s="79">
        <f aca="true" t="shared" si="8" ref="E18:O18">1/12</f>
        <v>0.08333333333333333</v>
      </c>
      <c r="F18" s="79">
        <f t="shared" si="8"/>
        <v>0.08333333333333333</v>
      </c>
      <c r="G18" s="79">
        <f t="shared" si="8"/>
        <v>0.08333333333333333</v>
      </c>
      <c r="H18" s="79">
        <f t="shared" si="8"/>
        <v>0.08333333333333333</v>
      </c>
      <c r="I18" s="79">
        <f t="shared" si="8"/>
        <v>0.08333333333333333</v>
      </c>
      <c r="J18" s="79">
        <f t="shared" si="8"/>
        <v>0.08333333333333333</v>
      </c>
      <c r="K18" s="79">
        <f t="shared" si="8"/>
        <v>0.08333333333333333</v>
      </c>
      <c r="L18" s="79">
        <f t="shared" si="8"/>
        <v>0.08333333333333333</v>
      </c>
      <c r="M18" s="79">
        <f t="shared" si="8"/>
        <v>0.08333333333333333</v>
      </c>
      <c r="N18" s="79">
        <f t="shared" si="8"/>
        <v>0.08333333333333333</v>
      </c>
      <c r="O18" s="79">
        <f t="shared" si="8"/>
        <v>0.08333333333333333</v>
      </c>
    </row>
    <row r="19" spans="1:15" ht="43.2" customHeight="1">
      <c r="A19" s="110"/>
      <c r="B19" s="112"/>
      <c r="C19" s="114"/>
      <c r="D19" s="52">
        <f>$C$18*D18</f>
        <v>238231.875</v>
      </c>
      <c r="E19" s="52">
        <f aca="true" t="shared" si="9" ref="E19:O19">$C$18*E18</f>
        <v>238231.875</v>
      </c>
      <c r="F19" s="52">
        <f t="shared" si="9"/>
        <v>238231.875</v>
      </c>
      <c r="G19" s="52">
        <f t="shared" si="9"/>
        <v>238231.875</v>
      </c>
      <c r="H19" s="52">
        <f t="shared" si="9"/>
        <v>238231.875</v>
      </c>
      <c r="I19" s="52">
        <f t="shared" si="9"/>
        <v>238231.875</v>
      </c>
      <c r="J19" s="52">
        <f t="shared" si="9"/>
        <v>238231.875</v>
      </c>
      <c r="K19" s="52">
        <f t="shared" si="9"/>
        <v>238231.875</v>
      </c>
      <c r="L19" s="52">
        <f t="shared" si="9"/>
        <v>238231.875</v>
      </c>
      <c r="M19" s="52">
        <f t="shared" si="9"/>
        <v>238231.875</v>
      </c>
      <c r="N19" s="52">
        <f t="shared" si="9"/>
        <v>238231.875</v>
      </c>
      <c r="O19" s="52">
        <f t="shared" si="9"/>
        <v>238231.875</v>
      </c>
    </row>
    <row r="20" spans="1:15" ht="18" customHeight="1">
      <c r="A20" s="109">
        <v>6</v>
      </c>
      <c r="B20" s="111" t="s">
        <v>343</v>
      </c>
      <c r="C20" s="113">
        <f>'PLANILHA ORÇ'!H15</f>
        <v>1004499.9999999999</v>
      </c>
      <c r="D20" s="79">
        <f>1/12</f>
        <v>0.08333333333333333</v>
      </c>
      <c r="E20" s="79">
        <f aca="true" t="shared" si="10" ref="E20:O22">1/12</f>
        <v>0.08333333333333333</v>
      </c>
      <c r="F20" s="79">
        <f t="shared" si="10"/>
        <v>0.08333333333333333</v>
      </c>
      <c r="G20" s="79">
        <f t="shared" si="10"/>
        <v>0.08333333333333333</v>
      </c>
      <c r="H20" s="79">
        <f t="shared" si="10"/>
        <v>0.08333333333333333</v>
      </c>
      <c r="I20" s="79">
        <f t="shared" si="10"/>
        <v>0.08333333333333333</v>
      </c>
      <c r="J20" s="79">
        <f t="shared" si="10"/>
        <v>0.08333333333333333</v>
      </c>
      <c r="K20" s="79">
        <f t="shared" si="10"/>
        <v>0.08333333333333333</v>
      </c>
      <c r="L20" s="79">
        <f t="shared" si="10"/>
        <v>0.08333333333333333</v>
      </c>
      <c r="M20" s="79">
        <f t="shared" si="10"/>
        <v>0.08333333333333333</v>
      </c>
      <c r="N20" s="79">
        <f t="shared" si="10"/>
        <v>0.08333333333333333</v>
      </c>
      <c r="O20" s="79">
        <f t="shared" si="10"/>
        <v>0.08333333333333333</v>
      </c>
    </row>
    <row r="21" spans="1:15" ht="37.95" customHeight="1">
      <c r="A21" s="110"/>
      <c r="B21" s="112"/>
      <c r="C21" s="114"/>
      <c r="D21" s="76">
        <f aca="true" t="shared" si="11" ref="D21:O21">$C$20*D20</f>
        <v>83708.33333333331</v>
      </c>
      <c r="E21" s="76">
        <f t="shared" si="11"/>
        <v>83708.33333333331</v>
      </c>
      <c r="F21" s="76">
        <f t="shared" si="11"/>
        <v>83708.33333333331</v>
      </c>
      <c r="G21" s="76">
        <f t="shared" si="11"/>
        <v>83708.33333333331</v>
      </c>
      <c r="H21" s="76">
        <f t="shared" si="11"/>
        <v>83708.33333333331</v>
      </c>
      <c r="I21" s="76">
        <f t="shared" si="11"/>
        <v>83708.33333333331</v>
      </c>
      <c r="J21" s="76">
        <f t="shared" si="11"/>
        <v>83708.33333333331</v>
      </c>
      <c r="K21" s="76">
        <f t="shared" si="11"/>
        <v>83708.33333333331</v>
      </c>
      <c r="L21" s="76">
        <f t="shared" si="11"/>
        <v>83708.33333333331</v>
      </c>
      <c r="M21" s="76">
        <f t="shared" si="11"/>
        <v>83708.33333333331</v>
      </c>
      <c r="N21" s="76">
        <f t="shared" si="11"/>
        <v>83708.33333333331</v>
      </c>
      <c r="O21" s="76">
        <f t="shared" si="11"/>
        <v>83708.33333333331</v>
      </c>
    </row>
    <row r="22" spans="1:15" ht="16.8" customHeight="1">
      <c r="A22" s="109">
        <v>7</v>
      </c>
      <c r="B22" s="111" t="s">
        <v>365</v>
      </c>
      <c r="C22" s="113">
        <f>'PLANILHA ORÇ'!H16</f>
        <v>25957872.500000004</v>
      </c>
      <c r="D22" s="79">
        <f>1/12</f>
        <v>0.08333333333333333</v>
      </c>
      <c r="E22" s="79">
        <f t="shared" si="10"/>
        <v>0.08333333333333333</v>
      </c>
      <c r="F22" s="79">
        <f t="shared" si="10"/>
        <v>0.08333333333333333</v>
      </c>
      <c r="G22" s="79">
        <f t="shared" si="10"/>
        <v>0.08333333333333333</v>
      </c>
      <c r="H22" s="79">
        <f t="shared" si="10"/>
        <v>0.08333333333333333</v>
      </c>
      <c r="I22" s="79">
        <f t="shared" si="10"/>
        <v>0.08333333333333333</v>
      </c>
      <c r="J22" s="79">
        <f t="shared" si="10"/>
        <v>0.08333333333333333</v>
      </c>
      <c r="K22" s="79">
        <f t="shared" si="10"/>
        <v>0.08333333333333333</v>
      </c>
      <c r="L22" s="79">
        <f t="shared" si="10"/>
        <v>0.08333333333333333</v>
      </c>
      <c r="M22" s="79">
        <f t="shared" si="10"/>
        <v>0.08333333333333333</v>
      </c>
      <c r="N22" s="79">
        <f t="shared" si="10"/>
        <v>0.08333333333333333</v>
      </c>
      <c r="O22" s="79">
        <f t="shared" si="10"/>
        <v>0.08333333333333333</v>
      </c>
    </row>
    <row r="23" spans="1:15" ht="27" customHeight="1">
      <c r="A23" s="110"/>
      <c r="B23" s="112"/>
      <c r="C23" s="114"/>
      <c r="D23" s="76">
        <f aca="true" t="shared" si="12" ref="D23:O23">$C$22*D22</f>
        <v>2163156.041666667</v>
      </c>
      <c r="E23" s="76">
        <f t="shared" si="12"/>
        <v>2163156.041666667</v>
      </c>
      <c r="F23" s="76">
        <f t="shared" si="12"/>
        <v>2163156.041666667</v>
      </c>
      <c r="G23" s="76">
        <f t="shared" si="12"/>
        <v>2163156.041666667</v>
      </c>
      <c r="H23" s="76">
        <f t="shared" si="12"/>
        <v>2163156.041666667</v>
      </c>
      <c r="I23" s="76">
        <f t="shared" si="12"/>
        <v>2163156.041666667</v>
      </c>
      <c r="J23" s="76">
        <f t="shared" si="12"/>
        <v>2163156.041666667</v>
      </c>
      <c r="K23" s="76">
        <f t="shared" si="12"/>
        <v>2163156.041666667</v>
      </c>
      <c r="L23" s="76">
        <f t="shared" si="12"/>
        <v>2163156.041666667</v>
      </c>
      <c r="M23" s="76">
        <f t="shared" si="12"/>
        <v>2163156.041666667</v>
      </c>
      <c r="N23" s="76">
        <f t="shared" si="12"/>
        <v>2163156.041666667</v>
      </c>
      <c r="O23" s="76">
        <f t="shared" si="12"/>
        <v>2163156.041666667</v>
      </c>
    </row>
    <row r="24" spans="1:15" ht="15">
      <c r="A24" s="42"/>
      <c r="B24" s="43" t="s">
        <v>295</v>
      </c>
      <c r="C24" s="52">
        <f>C10+C12+C14+C16+C18+C20+C22</f>
        <v>48281030</v>
      </c>
      <c r="D24" s="52">
        <f>D11+D13+D15+D17+D19+D21+D23</f>
        <v>4023419.166666667</v>
      </c>
      <c r="E24" s="52">
        <f>E11+E13+E15+E17+E19+E21+E23</f>
        <v>4023419.166666667</v>
      </c>
      <c r="F24" s="52">
        <f aca="true" t="shared" si="13" ref="F24:O24">F11+F13+F15+F17+F19+F21+F23</f>
        <v>4023419.166666667</v>
      </c>
      <c r="G24" s="52">
        <f t="shared" si="13"/>
        <v>4023419.166666667</v>
      </c>
      <c r="H24" s="52">
        <f t="shared" si="13"/>
        <v>4023419.166666667</v>
      </c>
      <c r="I24" s="52">
        <f t="shared" si="13"/>
        <v>4023419.166666667</v>
      </c>
      <c r="J24" s="52">
        <f t="shared" si="13"/>
        <v>4023419.166666667</v>
      </c>
      <c r="K24" s="52">
        <f t="shared" si="13"/>
        <v>4023419.166666667</v>
      </c>
      <c r="L24" s="52">
        <f t="shared" si="13"/>
        <v>4023419.166666667</v>
      </c>
      <c r="M24" s="52">
        <f t="shared" si="13"/>
        <v>4023419.166666667</v>
      </c>
      <c r="N24" s="52">
        <f t="shared" si="13"/>
        <v>4023419.166666667</v>
      </c>
      <c r="O24" s="52">
        <f t="shared" si="13"/>
        <v>4023419.166666667</v>
      </c>
    </row>
    <row r="25" spans="1:15" ht="15">
      <c r="A25" s="44"/>
      <c r="B25" s="45" t="s">
        <v>161</v>
      </c>
      <c r="C25" s="46">
        <f>C10+C12+C14+C16+C18+C20+C22</f>
        <v>48281030</v>
      </c>
      <c r="D25" s="46">
        <f>D11+D13+D15+D17+D19+D21+D23</f>
        <v>4023419.166666667</v>
      </c>
      <c r="E25" s="46">
        <f>E11+E13+E15+E17+E19+E21+E23+D25</f>
        <v>8046838.333333334</v>
      </c>
      <c r="F25" s="46">
        <f>F11+F13+F15+F17+F19+F21+F23+E25</f>
        <v>12070257.5</v>
      </c>
      <c r="G25" s="46">
        <f aca="true" t="shared" si="14" ref="G25:O25">G11+G13+G15+G17+G19+G21+G23+F25</f>
        <v>16093676.666666668</v>
      </c>
      <c r="H25" s="46">
        <f t="shared" si="14"/>
        <v>20117095.833333336</v>
      </c>
      <c r="I25" s="46">
        <f t="shared" si="14"/>
        <v>24140515.000000004</v>
      </c>
      <c r="J25" s="46">
        <f t="shared" si="14"/>
        <v>28163934.16666667</v>
      </c>
      <c r="K25" s="46">
        <f t="shared" si="14"/>
        <v>32187353.33333334</v>
      </c>
      <c r="L25" s="46">
        <f t="shared" si="14"/>
        <v>36210772.50000001</v>
      </c>
      <c r="M25" s="46">
        <f t="shared" si="14"/>
        <v>40234191.66666667</v>
      </c>
      <c r="N25" s="46">
        <f t="shared" si="14"/>
        <v>44257610.833333336</v>
      </c>
      <c r="O25" s="46">
        <f t="shared" si="14"/>
        <v>48281030</v>
      </c>
    </row>
    <row r="26" spans="1:15" ht="15">
      <c r="A26" s="47"/>
      <c r="B26" s="48" t="s">
        <v>162</v>
      </c>
      <c r="C26" s="50"/>
      <c r="D26" s="51">
        <f>D25/$C$25</f>
        <v>0.08333333333333334</v>
      </c>
      <c r="E26" s="51">
        <f aca="true" t="shared" si="15" ref="E26:O26">E25/$C$25</f>
        <v>0.16666666666666669</v>
      </c>
      <c r="F26" s="51">
        <f t="shared" si="15"/>
        <v>0.25</v>
      </c>
      <c r="G26" s="51">
        <f t="shared" si="15"/>
        <v>0.33333333333333337</v>
      </c>
      <c r="H26" s="51">
        <f t="shared" si="15"/>
        <v>0.41666666666666674</v>
      </c>
      <c r="I26" s="51">
        <f t="shared" si="15"/>
        <v>0.5000000000000001</v>
      </c>
      <c r="J26" s="51">
        <f t="shared" si="15"/>
        <v>0.5833333333333335</v>
      </c>
      <c r="K26" s="51">
        <f t="shared" si="15"/>
        <v>0.6666666666666667</v>
      </c>
      <c r="L26" s="51">
        <f t="shared" si="15"/>
        <v>0.7500000000000001</v>
      </c>
      <c r="M26" s="51">
        <f t="shared" si="15"/>
        <v>0.8333333333333335</v>
      </c>
      <c r="N26" s="51">
        <f t="shared" si="15"/>
        <v>0.9166666666666667</v>
      </c>
      <c r="O26" s="51">
        <f t="shared" si="15"/>
        <v>1</v>
      </c>
    </row>
    <row r="27" ht="15">
      <c r="D27" s="49"/>
    </row>
  </sheetData>
  <mergeCells count="41">
    <mergeCell ref="K8:K9"/>
    <mergeCell ref="A10:A11"/>
    <mergeCell ref="B10:B11"/>
    <mergeCell ref="C10:C11"/>
    <mergeCell ref="A1:O1"/>
    <mergeCell ref="A2:O2"/>
    <mergeCell ref="A3:O3"/>
    <mergeCell ref="A7:O7"/>
    <mergeCell ref="L8:L9"/>
    <mergeCell ref="M8:M9"/>
    <mergeCell ref="N8:N9"/>
    <mergeCell ref="O8:O9"/>
    <mergeCell ref="F8:F9"/>
    <mergeCell ref="G8:G9"/>
    <mergeCell ref="H8:H9"/>
    <mergeCell ref="I8:I9"/>
    <mergeCell ref="B14:B15"/>
    <mergeCell ref="C14:C15"/>
    <mergeCell ref="A14:A15"/>
    <mergeCell ref="J8:J9"/>
    <mergeCell ref="C8:C9"/>
    <mergeCell ref="B8:B9"/>
    <mergeCell ref="A8:A9"/>
    <mergeCell ref="D8:D9"/>
    <mergeCell ref="E8:E9"/>
    <mergeCell ref="A22:A23"/>
    <mergeCell ref="B22:B23"/>
    <mergeCell ref="C22:C23"/>
    <mergeCell ref="A5:H5"/>
    <mergeCell ref="A18:A19"/>
    <mergeCell ref="B18:B19"/>
    <mergeCell ref="C18:C19"/>
    <mergeCell ref="A20:A21"/>
    <mergeCell ref="B20:B21"/>
    <mergeCell ref="C20:C21"/>
    <mergeCell ref="A16:A17"/>
    <mergeCell ref="C16:C17"/>
    <mergeCell ref="B12:B13"/>
    <mergeCell ref="A12:A13"/>
    <mergeCell ref="C12:C13"/>
    <mergeCell ref="B16:B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7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1F91-A7B3-423B-BB0B-177BB5C46D5D}">
  <dimension ref="A1:D36"/>
  <sheetViews>
    <sheetView view="pageBreakPreview" zoomScaleSheetLayoutView="100" workbookViewId="0" topLeftCell="A16">
      <selection activeCell="H24" sqref="H24"/>
    </sheetView>
  </sheetViews>
  <sheetFormatPr defaultColWidth="9.140625" defaultRowHeight="15"/>
  <cols>
    <col min="1" max="1" width="9.140625" style="27" customWidth="1"/>
    <col min="2" max="2" width="50.57421875" style="27" customWidth="1"/>
    <col min="3" max="3" width="30.140625" style="27" customWidth="1"/>
    <col min="4" max="16384" width="9.140625" style="27" customWidth="1"/>
  </cols>
  <sheetData>
    <row r="1" spans="1:3" ht="57.75" customHeight="1">
      <c r="A1" s="125" t="str">
        <f>'[1]ORÇAMENTO'!A1</f>
        <v>ESTADO DO PARÁ</v>
      </c>
      <c r="B1" s="125"/>
      <c r="C1" s="125"/>
    </row>
    <row r="2" spans="1:3" ht="15">
      <c r="A2" s="125" t="str">
        <f>'[1]ORÇAMENTO'!A2</f>
        <v>PREFEITURA MUNICIPAL DE ABAETETUBA</v>
      </c>
      <c r="B2" s="125"/>
      <c r="C2" s="125"/>
    </row>
    <row r="3" spans="1:4" ht="15">
      <c r="A3" s="125" t="s">
        <v>113</v>
      </c>
      <c r="B3" s="125"/>
      <c r="C3" s="125"/>
      <c r="D3" s="28"/>
    </row>
    <row r="4" spans="1:3" ht="3" customHeight="1">
      <c r="A4" s="29"/>
      <c r="B4" s="30"/>
      <c r="C4" s="30"/>
    </row>
    <row r="5" spans="1:3" ht="53.25" customHeight="1">
      <c r="A5" s="126" t="s">
        <v>298</v>
      </c>
      <c r="B5" s="126"/>
      <c r="C5" s="126"/>
    </row>
    <row r="6" spans="1:3" ht="15">
      <c r="A6" s="30"/>
      <c r="B6" s="30"/>
      <c r="C6" s="30"/>
    </row>
    <row r="7" spans="1:3" ht="15.6">
      <c r="A7" s="127" t="s">
        <v>117</v>
      </c>
      <c r="B7" s="128"/>
      <c r="C7" s="129"/>
    </row>
    <row r="8" spans="1:3" ht="15">
      <c r="A8" s="31" t="s">
        <v>118</v>
      </c>
      <c r="B8" s="31" t="s">
        <v>119</v>
      </c>
      <c r="C8" s="32">
        <f>SUM(C9:C12)</f>
        <v>0.0683</v>
      </c>
    </row>
    <row r="9" spans="1:3" ht="15">
      <c r="A9" s="33" t="s">
        <v>120</v>
      </c>
      <c r="B9" s="34" t="s">
        <v>121</v>
      </c>
      <c r="C9" s="35">
        <v>0.0401</v>
      </c>
    </row>
    <row r="10" spans="1:3" ht="15">
      <c r="A10" s="33" t="s">
        <v>122</v>
      </c>
      <c r="B10" s="34" t="s">
        <v>123</v>
      </c>
      <c r="C10" s="35">
        <v>0.004</v>
      </c>
    </row>
    <row r="11" spans="1:3" ht="15">
      <c r="A11" s="33" t="s">
        <v>124</v>
      </c>
      <c r="B11" s="34" t="s">
        <v>125</v>
      </c>
      <c r="C11" s="35">
        <v>0.0127</v>
      </c>
    </row>
    <row r="12" spans="1:3" ht="15">
      <c r="A12" s="33" t="s">
        <v>126</v>
      </c>
      <c r="B12" s="34" t="s">
        <v>127</v>
      </c>
      <c r="C12" s="35">
        <v>0.0115</v>
      </c>
    </row>
    <row r="13" spans="1:3" ht="15">
      <c r="A13" s="33"/>
      <c r="B13" s="34"/>
      <c r="C13" s="35"/>
    </row>
    <row r="14" spans="1:3" ht="15">
      <c r="A14" s="31" t="s">
        <v>128</v>
      </c>
      <c r="B14" s="31" t="s">
        <v>129</v>
      </c>
      <c r="C14" s="32">
        <f>SUM(C15:C18)</f>
        <v>0.0665</v>
      </c>
    </row>
    <row r="15" spans="1:3" ht="15">
      <c r="A15" s="33" t="s">
        <v>130</v>
      </c>
      <c r="B15" s="34" t="s">
        <v>131</v>
      </c>
      <c r="C15" s="35">
        <v>0.0065</v>
      </c>
    </row>
    <row r="16" spans="1:3" ht="15">
      <c r="A16" s="33" t="s">
        <v>132</v>
      </c>
      <c r="B16" s="34" t="s">
        <v>133</v>
      </c>
      <c r="C16" s="35">
        <v>0.03</v>
      </c>
    </row>
    <row r="17" spans="1:3" ht="15">
      <c r="A17" s="33" t="s">
        <v>134</v>
      </c>
      <c r="B17" s="34" t="s">
        <v>135</v>
      </c>
      <c r="C17" s="36">
        <v>0.03</v>
      </c>
    </row>
    <row r="18" spans="1:3" ht="15">
      <c r="A18" s="33" t="s">
        <v>136</v>
      </c>
      <c r="B18" s="34" t="s">
        <v>137</v>
      </c>
      <c r="C18" s="35">
        <v>0</v>
      </c>
    </row>
    <row r="19" spans="1:3" ht="15">
      <c r="A19" s="33"/>
      <c r="B19" s="34"/>
      <c r="C19" s="34"/>
    </row>
    <row r="20" spans="1:3" ht="15">
      <c r="A20" s="31" t="s">
        <v>138</v>
      </c>
      <c r="B20" s="31" t="s">
        <v>139</v>
      </c>
      <c r="C20" s="32">
        <f>C21</f>
        <v>0.08</v>
      </c>
    </row>
    <row r="21" spans="1:3" ht="15">
      <c r="A21" s="33" t="s">
        <v>140</v>
      </c>
      <c r="B21" s="34" t="s">
        <v>141</v>
      </c>
      <c r="C21" s="35">
        <v>0.08</v>
      </c>
    </row>
    <row r="22" spans="1:3" ht="15">
      <c r="A22" s="33"/>
      <c r="B22" s="34"/>
      <c r="C22" s="34"/>
    </row>
    <row r="23" spans="1:4" ht="15">
      <c r="A23" s="31" t="s">
        <v>142</v>
      </c>
      <c r="B23" s="37" t="s">
        <v>143</v>
      </c>
      <c r="C23" s="32">
        <f>(((1+C9+C10+C11)*(1+C12)*(1+C20))/(1-C14))-1</f>
        <v>0.23671071880021421</v>
      </c>
      <c r="D23" s="27">
        <v>20.97</v>
      </c>
    </row>
    <row r="24" spans="1:3" ht="15">
      <c r="A24" s="38"/>
      <c r="B24" s="38"/>
      <c r="C24" s="38"/>
    </row>
    <row r="25" spans="1:3" ht="34.5" customHeight="1">
      <c r="A25" s="124" t="s">
        <v>144</v>
      </c>
      <c r="B25" s="124"/>
      <c r="C25" s="124"/>
    </row>
    <row r="26" spans="1:3" ht="15">
      <c r="A26" s="38"/>
      <c r="B26" s="38"/>
      <c r="C26" s="38"/>
    </row>
    <row r="27" spans="1:3" ht="15">
      <c r="A27" s="38"/>
      <c r="B27" s="39"/>
      <c r="C27" s="38"/>
    </row>
    <row r="28" spans="1:3" ht="15">
      <c r="A28" s="38"/>
      <c r="B28" s="38"/>
      <c r="C28" s="38"/>
    </row>
    <row r="29" spans="1:3" ht="15">
      <c r="A29" s="38" t="s">
        <v>145</v>
      </c>
      <c r="B29" s="38"/>
      <c r="C29" s="38"/>
    </row>
    <row r="30" spans="1:3" ht="15">
      <c r="A30" s="38" t="s">
        <v>146</v>
      </c>
      <c r="B30" s="38"/>
      <c r="C30" s="38"/>
    </row>
    <row r="31" spans="1:3" ht="15">
      <c r="A31" s="38" t="s">
        <v>147</v>
      </c>
      <c r="B31" s="38"/>
      <c r="C31" s="38"/>
    </row>
    <row r="32" spans="1:3" ht="15">
      <c r="A32" s="38" t="s">
        <v>148</v>
      </c>
      <c r="B32" s="38"/>
      <c r="C32" s="38"/>
    </row>
    <row r="33" spans="1:3" ht="15">
      <c r="A33" s="38" t="s">
        <v>149</v>
      </c>
      <c r="B33" s="38"/>
      <c r="C33" s="38"/>
    </row>
    <row r="34" spans="1:3" ht="15">
      <c r="A34" s="38" t="s">
        <v>150</v>
      </c>
      <c r="B34" s="38"/>
      <c r="C34" s="38"/>
    </row>
    <row r="35" spans="1:3" ht="15">
      <c r="A35" s="38" t="s">
        <v>151</v>
      </c>
      <c r="B35" s="39"/>
      <c r="C35" s="39"/>
    </row>
    <row r="36" spans="1:3" ht="15">
      <c r="A36" s="40"/>
      <c r="B36" s="40"/>
      <c r="C36" s="40"/>
    </row>
  </sheetData>
  <mergeCells count="6">
    <mergeCell ref="A25:C25"/>
    <mergeCell ref="A1:C1"/>
    <mergeCell ref="A2:C2"/>
    <mergeCell ref="A3:C3"/>
    <mergeCell ref="A5:C5"/>
    <mergeCell ref="A7:C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68AF-D5CA-4910-9C13-452288FD6C95}">
  <sheetPr>
    <pageSetUpPr fitToPage="1"/>
  </sheetPr>
  <dimension ref="A1:J25"/>
  <sheetViews>
    <sheetView showOutlineSymbols="0" workbookViewId="0" topLeftCell="A1">
      <selection activeCell="K10" sqref="K10"/>
    </sheetView>
  </sheetViews>
  <sheetFormatPr defaultColWidth="8.8515625" defaultRowHeight="15"/>
  <cols>
    <col min="1" max="1" width="3.28125" style="62" bestFit="1" customWidth="1"/>
    <col min="2" max="2" width="11.140625" style="62" bestFit="1" customWidth="1"/>
    <col min="3" max="3" width="66.7109375" style="62" bestFit="1" customWidth="1"/>
    <col min="4" max="4" width="33.28125" style="62" bestFit="1" customWidth="1"/>
    <col min="5" max="5" width="11.140625" style="62" bestFit="1" customWidth="1"/>
    <col min="6" max="10" width="13.28125" style="62" bestFit="1" customWidth="1"/>
    <col min="11" max="16384" width="8.8515625" style="62" customWidth="1"/>
  </cols>
  <sheetData>
    <row r="1" spans="1:10" ht="15">
      <c r="A1" s="133" t="s">
        <v>192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>
      <c r="A2" s="130" t="s">
        <v>32</v>
      </c>
      <c r="B2" s="131"/>
      <c r="C2" s="131" t="s">
        <v>193</v>
      </c>
      <c r="D2" s="132"/>
      <c r="E2" s="132"/>
      <c r="F2" s="132"/>
      <c r="G2" s="132"/>
      <c r="H2" s="132"/>
      <c r="I2" s="132"/>
      <c r="J2" s="132"/>
    </row>
    <row r="3" spans="1:10" ht="28.2" customHeight="1">
      <c r="A3" s="130" t="s">
        <v>33</v>
      </c>
      <c r="B3" s="131"/>
      <c r="C3" s="131" t="s">
        <v>291</v>
      </c>
      <c r="D3" s="132"/>
      <c r="E3" s="132"/>
      <c r="F3" s="132"/>
      <c r="G3" s="132"/>
      <c r="H3" s="132"/>
      <c r="I3" s="132"/>
      <c r="J3" s="132"/>
    </row>
    <row r="4" spans="1:10" ht="15">
      <c r="A4" s="130" t="s">
        <v>34</v>
      </c>
      <c r="B4" s="131"/>
      <c r="C4" s="131" t="s">
        <v>194</v>
      </c>
      <c r="D4" s="132"/>
      <c r="E4" s="132"/>
      <c r="F4" s="132"/>
      <c r="G4" s="132"/>
      <c r="H4" s="132"/>
      <c r="I4" s="132"/>
      <c r="J4" s="132"/>
    </row>
    <row r="5" spans="1:10" ht="15">
      <c r="A5" s="130" t="s">
        <v>35</v>
      </c>
      <c r="B5" s="131"/>
      <c r="C5" s="131" t="s">
        <v>36</v>
      </c>
      <c r="D5" s="132"/>
      <c r="E5" s="132"/>
      <c r="F5" s="132"/>
      <c r="G5" s="132"/>
      <c r="H5" s="132"/>
      <c r="I5" s="132"/>
      <c r="J5" s="132"/>
    </row>
    <row r="6" spans="1:10" ht="15">
      <c r="A6" s="130" t="s">
        <v>37</v>
      </c>
      <c r="B6" s="131"/>
      <c r="C6" s="131" t="s">
        <v>195</v>
      </c>
      <c r="D6" s="132"/>
      <c r="E6" s="132"/>
      <c r="F6" s="132"/>
      <c r="G6" s="132"/>
      <c r="H6" s="132"/>
      <c r="I6" s="132"/>
      <c r="J6" s="132"/>
    </row>
    <row r="7" spans="1:10" ht="15">
      <c r="A7" s="130" t="s">
        <v>39</v>
      </c>
      <c r="B7" s="131"/>
      <c r="C7" s="131" t="s">
        <v>196</v>
      </c>
      <c r="D7" s="132"/>
      <c r="E7" s="132"/>
      <c r="F7" s="132"/>
      <c r="G7" s="132"/>
      <c r="H7" s="132"/>
      <c r="I7" s="132"/>
      <c r="J7" s="132"/>
    </row>
    <row r="8" spans="1:10" ht="15">
      <c r="A8" s="130" t="s">
        <v>41</v>
      </c>
      <c r="B8" s="131"/>
      <c r="C8" s="131">
        <v>103.52</v>
      </c>
      <c r="D8" s="132"/>
      <c r="E8" s="132"/>
      <c r="F8" s="132"/>
      <c r="G8" s="132"/>
      <c r="H8" s="132"/>
      <c r="I8" s="132"/>
      <c r="J8" s="132"/>
    </row>
    <row r="9" spans="1:10" ht="15">
      <c r="A9" s="130" t="s">
        <v>42</v>
      </c>
      <c r="B9" s="131"/>
      <c r="C9" s="131">
        <v>99.04</v>
      </c>
      <c r="D9" s="132"/>
      <c r="E9" s="132"/>
      <c r="F9" s="132"/>
      <c r="G9" s="132"/>
      <c r="H9" s="132"/>
      <c r="I9" s="132"/>
      <c r="J9" s="132"/>
    </row>
    <row r="10" spans="1:10" ht="30" customHeight="1">
      <c r="A10" s="63"/>
      <c r="B10" s="63" t="s">
        <v>43</v>
      </c>
      <c r="C10" s="63" t="s">
        <v>33</v>
      </c>
      <c r="D10" s="63" t="s">
        <v>37</v>
      </c>
      <c r="E10" s="64" t="s">
        <v>39</v>
      </c>
      <c r="F10" s="65" t="s">
        <v>41</v>
      </c>
      <c r="G10" s="65" t="s">
        <v>42</v>
      </c>
      <c r="H10" s="65" t="s">
        <v>44</v>
      </c>
      <c r="I10" s="65" t="s">
        <v>41</v>
      </c>
      <c r="J10" s="65" t="s">
        <v>42</v>
      </c>
    </row>
    <row r="11" spans="1:10" ht="24" customHeight="1">
      <c r="A11" s="66" t="s">
        <v>45</v>
      </c>
      <c r="B11" s="66" t="s">
        <v>197</v>
      </c>
      <c r="C11" s="66" t="s">
        <v>198</v>
      </c>
      <c r="D11" s="66" t="s">
        <v>65</v>
      </c>
      <c r="E11" s="67" t="s">
        <v>19</v>
      </c>
      <c r="F11" s="68" t="s">
        <v>199</v>
      </c>
      <c r="G11" s="68" t="s">
        <v>200</v>
      </c>
      <c r="H11" s="68" t="s">
        <v>201</v>
      </c>
      <c r="I11" s="68" t="s">
        <v>202</v>
      </c>
      <c r="J11" s="68" t="s">
        <v>203</v>
      </c>
    </row>
    <row r="12" spans="1:10" ht="24" customHeight="1">
      <c r="A12" s="66" t="s">
        <v>45</v>
      </c>
      <c r="B12" s="66" t="s">
        <v>63</v>
      </c>
      <c r="C12" s="66" t="s">
        <v>64</v>
      </c>
      <c r="D12" s="66" t="s">
        <v>65</v>
      </c>
      <c r="E12" s="67" t="s">
        <v>19</v>
      </c>
      <c r="F12" s="68" t="s">
        <v>204</v>
      </c>
      <c r="G12" s="68" t="s">
        <v>205</v>
      </c>
      <c r="H12" s="68" t="s">
        <v>201</v>
      </c>
      <c r="I12" s="68" t="s">
        <v>191</v>
      </c>
      <c r="J12" s="68" t="s">
        <v>206</v>
      </c>
    </row>
    <row r="13" spans="1:10" ht="24" customHeight="1">
      <c r="A13" s="66" t="s">
        <v>45</v>
      </c>
      <c r="B13" s="66" t="s">
        <v>207</v>
      </c>
      <c r="C13" s="66" t="s">
        <v>208</v>
      </c>
      <c r="D13" s="66" t="s">
        <v>65</v>
      </c>
      <c r="E13" s="67" t="s">
        <v>190</v>
      </c>
      <c r="F13" s="68" t="s">
        <v>209</v>
      </c>
      <c r="G13" s="68" t="s">
        <v>210</v>
      </c>
      <c r="H13" s="68" t="s">
        <v>50</v>
      </c>
      <c r="I13" s="68" t="s">
        <v>211</v>
      </c>
      <c r="J13" s="68" t="s">
        <v>212</v>
      </c>
    </row>
    <row r="14" spans="1:10" ht="24" customHeight="1">
      <c r="A14" s="69" t="s">
        <v>90</v>
      </c>
      <c r="B14" s="69" t="s">
        <v>213</v>
      </c>
      <c r="C14" s="69" t="s">
        <v>214</v>
      </c>
      <c r="D14" s="69" t="s">
        <v>93</v>
      </c>
      <c r="E14" s="70" t="s">
        <v>190</v>
      </c>
      <c r="F14" s="71" t="s">
        <v>215</v>
      </c>
      <c r="G14" s="71" t="s">
        <v>215</v>
      </c>
      <c r="H14" s="71" t="s">
        <v>216</v>
      </c>
      <c r="I14" s="71" t="s">
        <v>217</v>
      </c>
      <c r="J14" s="71" t="s">
        <v>217</v>
      </c>
    </row>
    <row r="15" spans="1:10" ht="24" customHeight="1">
      <c r="A15" s="69" t="s">
        <v>90</v>
      </c>
      <c r="B15" s="69" t="s">
        <v>218</v>
      </c>
      <c r="C15" s="69" t="s">
        <v>219</v>
      </c>
      <c r="D15" s="69" t="s">
        <v>93</v>
      </c>
      <c r="E15" s="70" t="s">
        <v>196</v>
      </c>
      <c r="F15" s="71" t="s">
        <v>220</v>
      </c>
      <c r="G15" s="71" t="s">
        <v>220</v>
      </c>
      <c r="H15" s="71" t="s">
        <v>221</v>
      </c>
      <c r="I15" s="71" t="s">
        <v>222</v>
      </c>
      <c r="J15" s="71" t="s">
        <v>222</v>
      </c>
    </row>
    <row r="16" spans="1:10" ht="15">
      <c r="A16" s="15" t="s">
        <v>45</v>
      </c>
      <c r="B16" s="15" t="s">
        <v>197</v>
      </c>
      <c r="C16" s="15" t="s">
        <v>198</v>
      </c>
      <c r="D16" s="15" t="s">
        <v>65</v>
      </c>
      <c r="E16" s="16" t="s">
        <v>19</v>
      </c>
      <c r="F16" s="17" t="s">
        <v>199</v>
      </c>
      <c r="G16" s="17" t="s">
        <v>200</v>
      </c>
      <c r="H16" s="17" t="s">
        <v>265</v>
      </c>
      <c r="I16" s="17" t="s">
        <v>266</v>
      </c>
      <c r="J16" s="17" t="s">
        <v>267</v>
      </c>
    </row>
    <row r="17" spans="1:10" ht="15">
      <c r="A17" s="15" t="s">
        <v>45</v>
      </c>
      <c r="B17" s="15" t="s">
        <v>63</v>
      </c>
      <c r="C17" s="15" t="s">
        <v>64</v>
      </c>
      <c r="D17" s="15" t="s">
        <v>65</v>
      </c>
      <c r="E17" s="16" t="s">
        <v>19</v>
      </c>
      <c r="F17" s="17" t="s">
        <v>204</v>
      </c>
      <c r="G17" s="17" t="s">
        <v>205</v>
      </c>
      <c r="H17" s="17" t="s">
        <v>265</v>
      </c>
      <c r="I17" s="17" t="s">
        <v>268</v>
      </c>
      <c r="J17" s="17" t="s">
        <v>269</v>
      </c>
    </row>
    <row r="18" spans="1:10" ht="26.4">
      <c r="A18" s="18" t="s">
        <v>90</v>
      </c>
      <c r="B18" s="18" t="s">
        <v>213</v>
      </c>
      <c r="C18" s="18" t="s">
        <v>214</v>
      </c>
      <c r="D18" s="18" t="s">
        <v>93</v>
      </c>
      <c r="E18" s="19" t="s">
        <v>190</v>
      </c>
      <c r="F18" s="20" t="s">
        <v>215</v>
      </c>
      <c r="G18" s="20" t="s">
        <v>215</v>
      </c>
      <c r="H18" s="20" t="s">
        <v>51</v>
      </c>
      <c r="I18" s="20" t="s">
        <v>270</v>
      </c>
      <c r="J18" s="20" t="s">
        <v>270</v>
      </c>
    </row>
    <row r="19" spans="1:10" ht="26.4">
      <c r="A19" s="18" t="s">
        <v>90</v>
      </c>
      <c r="B19" s="18" t="s">
        <v>255</v>
      </c>
      <c r="C19" s="18" t="s">
        <v>256</v>
      </c>
      <c r="D19" s="18" t="s">
        <v>93</v>
      </c>
      <c r="E19" s="19" t="s">
        <v>196</v>
      </c>
      <c r="F19" s="20" t="s">
        <v>257</v>
      </c>
      <c r="G19" s="20" t="s">
        <v>257</v>
      </c>
      <c r="H19" s="20" t="s">
        <v>271</v>
      </c>
      <c r="I19" s="20" t="s">
        <v>272</v>
      </c>
      <c r="J19" s="20" t="s">
        <v>272</v>
      </c>
    </row>
    <row r="20" spans="1:10" ht="26.4">
      <c r="A20" s="18" t="s">
        <v>90</v>
      </c>
      <c r="B20" s="18" t="s">
        <v>273</v>
      </c>
      <c r="C20" s="18" t="s">
        <v>274</v>
      </c>
      <c r="D20" s="18" t="s">
        <v>93</v>
      </c>
      <c r="E20" s="19" t="s">
        <v>196</v>
      </c>
      <c r="F20" s="20" t="s">
        <v>275</v>
      </c>
      <c r="G20" s="20" t="s">
        <v>275</v>
      </c>
      <c r="H20" s="20" t="s">
        <v>276</v>
      </c>
      <c r="I20" s="20" t="s">
        <v>277</v>
      </c>
      <c r="J20" s="20" t="s">
        <v>277</v>
      </c>
    </row>
    <row r="21" spans="1:10" ht="39.6">
      <c r="A21" s="18" t="s">
        <v>90</v>
      </c>
      <c r="B21" s="18" t="s">
        <v>278</v>
      </c>
      <c r="C21" s="18" t="s">
        <v>279</v>
      </c>
      <c r="D21" s="18" t="s">
        <v>93</v>
      </c>
      <c r="E21" s="19" t="s">
        <v>190</v>
      </c>
      <c r="F21" s="20" t="s">
        <v>280</v>
      </c>
      <c r="G21" s="20" t="s">
        <v>280</v>
      </c>
      <c r="H21" s="20" t="s">
        <v>281</v>
      </c>
      <c r="I21" s="20" t="s">
        <v>282</v>
      </c>
      <c r="J21" s="20" t="s">
        <v>282</v>
      </c>
    </row>
    <row r="22" spans="1:10" ht="52.8">
      <c r="A22" s="15" t="s">
        <v>45</v>
      </c>
      <c r="B22" s="15" t="s">
        <v>283</v>
      </c>
      <c r="C22" s="15" t="s">
        <v>284</v>
      </c>
      <c r="D22" s="15" t="s">
        <v>48</v>
      </c>
      <c r="E22" s="16" t="s">
        <v>17</v>
      </c>
      <c r="F22" s="17" t="s">
        <v>285</v>
      </c>
      <c r="G22" s="17" t="s">
        <v>286</v>
      </c>
      <c r="H22" s="73">
        <f>0.0324/15</f>
        <v>0.00216</v>
      </c>
      <c r="I22" s="74">
        <f>F22*H22</f>
        <v>0.260496</v>
      </c>
      <c r="J22" s="74">
        <f>G22*H22</f>
        <v>0.25488</v>
      </c>
    </row>
    <row r="23" spans="1:10" ht="52.8">
      <c r="A23" s="15" t="s">
        <v>45</v>
      </c>
      <c r="B23" s="15" t="s">
        <v>287</v>
      </c>
      <c r="C23" s="15" t="s">
        <v>288</v>
      </c>
      <c r="D23" s="15" t="s">
        <v>48</v>
      </c>
      <c r="E23" s="16" t="s">
        <v>18</v>
      </c>
      <c r="F23" s="17" t="s">
        <v>289</v>
      </c>
      <c r="G23" s="17" t="s">
        <v>290</v>
      </c>
      <c r="H23" s="73">
        <f>0.0392/15</f>
        <v>0.0026133333333333334</v>
      </c>
      <c r="I23" s="74">
        <f aca="true" t="shared" si="0" ref="I23:I24">F23*H23</f>
        <v>0.12107573333333334</v>
      </c>
      <c r="J23" s="74">
        <f aca="true" t="shared" si="1" ref="J23:J24">G23*H23</f>
        <v>0.11428106666666667</v>
      </c>
    </row>
    <row r="24" spans="1:10" ht="15">
      <c r="A24" s="15" t="s">
        <v>45</v>
      </c>
      <c r="B24" s="15" t="s">
        <v>63</v>
      </c>
      <c r="C24" s="15" t="s">
        <v>64</v>
      </c>
      <c r="D24" s="15" t="s">
        <v>65</v>
      </c>
      <c r="E24" s="16" t="s">
        <v>19</v>
      </c>
      <c r="F24" s="17" t="s">
        <v>204</v>
      </c>
      <c r="G24" s="17" t="s">
        <v>205</v>
      </c>
      <c r="H24" s="73">
        <f>0.0717/15</f>
        <v>0.00478</v>
      </c>
      <c r="I24" s="74">
        <f t="shared" si="0"/>
        <v>0.08986400000000001</v>
      </c>
      <c r="J24" s="74">
        <f t="shared" si="1"/>
        <v>0.0816902</v>
      </c>
    </row>
    <row r="25" spans="9:10" ht="15">
      <c r="I25" s="75">
        <f>I11+I12+I13+I14+I15+I16+I17+I18+I19+I20+I21+I22+I23+I24</f>
        <v>103.52143573333332</v>
      </c>
      <c r="J25" s="75">
        <f>J11+J12+J13+J14+J15+J16+J17+J18+J19+J20+J21+J22+J23+J24</f>
        <v>99.04085126666665</v>
      </c>
    </row>
  </sheetData>
  <mergeCells count="17">
    <mergeCell ref="A8:B8"/>
    <mergeCell ref="C8:J8"/>
    <mergeCell ref="A9:B9"/>
    <mergeCell ref="C9:J9"/>
    <mergeCell ref="A5:B5"/>
    <mergeCell ref="C5:J5"/>
    <mergeCell ref="A6:B6"/>
    <mergeCell ref="C6:J6"/>
    <mergeCell ref="A7:B7"/>
    <mergeCell ref="C7:J7"/>
    <mergeCell ref="A4:B4"/>
    <mergeCell ref="C4:J4"/>
    <mergeCell ref="A1:J1"/>
    <mergeCell ref="A2:B2"/>
    <mergeCell ref="C2:J2"/>
    <mergeCell ref="A3:B3"/>
    <mergeCell ref="C3:J3"/>
  </mergeCells>
  <printOptions/>
  <pageMargins left="0.5" right="0.5" top="1" bottom="1" header="0.5" footer="0.5"/>
  <pageSetup fitToHeight="0" fitToWidth="1" horizontalDpi="600" verticalDpi="600" orientation="landscape" paperSize="9" scale="70" r:id="rId1"/>
  <headerFooter>
    <oddHeader xml:space="preserve">&amp;CMinha Empresa
CNPJ: </oddHeader>
    <oddFooter>&amp;C  -  -  / 
(91) 9824-61573 / marcusfprado@hotmail.com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7FBA1-EA0F-4E38-8032-164129C22903}">
  <sheetPr>
    <pageSetUpPr fitToPage="1"/>
  </sheetPr>
  <dimension ref="B1:J27"/>
  <sheetViews>
    <sheetView workbookViewId="0" topLeftCell="B1">
      <selection activeCell="G20" sqref="G20"/>
    </sheetView>
  </sheetViews>
  <sheetFormatPr defaultColWidth="9.140625" defaultRowHeight="15"/>
  <cols>
    <col min="2" max="2" width="14.57421875" style="0" bestFit="1" customWidth="1"/>
    <col min="3" max="3" width="86.7109375" style="0" customWidth="1"/>
    <col min="4" max="4" width="6.7109375" style="23" customWidth="1"/>
    <col min="5" max="5" width="8.421875" style="23" bestFit="1" customWidth="1"/>
    <col min="6" max="6" width="18.28125" style="0" bestFit="1" customWidth="1"/>
    <col min="7" max="7" width="12.8515625" style="0" bestFit="1" customWidth="1"/>
    <col min="8" max="8" width="12.00390625" style="0" bestFit="1" customWidth="1"/>
    <col min="9" max="9" width="13.421875" style="0" customWidth="1"/>
    <col min="10" max="10" width="10.421875" style="0" bestFit="1" customWidth="1"/>
  </cols>
  <sheetData>
    <row r="1" spans="2:10" ht="27.6" customHeight="1">
      <c r="B1" s="54" t="s">
        <v>0</v>
      </c>
      <c r="C1" s="54" t="s">
        <v>180</v>
      </c>
      <c r="D1" s="54" t="s">
        <v>181</v>
      </c>
      <c r="E1" s="54" t="s">
        <v>182</v>
      </c>
      <c r="F1" s="54" t="s">
        <v>184</v>
      </c>
      <c r="G1" s="54" t="s">
        <v>183</v>
      </c>
      <c r="H1" s="54" t="s">
        <v>185</v>
      </c>
      <c r="I1" s="55" t="s">
        <v>186</v>
      </c>
      <c r="J1" s="54" t="s">
        <v>5</v>
      </c>
    </row>
    <row r="2" spans="2:10" s="23" customFormat="1" ht="26.4" customHeight="1">
      <c r="B2" s="2"/>
      <c r="C2" s="55" t="s">
        <v>188</v>
      </c>
      <c r="D2" s="2" t="s">
        <v>28</v>
      </c>
      <c r="E2" s="2">
        <v>1</v>
      </c>
      <c r="F2" s="56">
        <v>71.414779</v>
      </c>
      <c r="G2" s="56">
        <f>E15*G15</f>
        <v>1.692</v>
      </c>
      <c r="H2" s="57">
        <f>SUM(H3:H15)+G2</f>
        <v>73.10677899999999</v>
      </c>
      <c r="I2" s="58">
        <f>H2*1.2097</f>
        <v>88.43727055629999</v>
      </c>
      <c r="J2" s="58">
        <v>88.43727055629999</v>
      </c>
    </row>
    <row r="3" spans="2:10" ht="15">
      <c r="B3" s="2">
        <v>96029</v>
      </c>
      <c r="C3" s="3" t="s">
        <v>187</v>
      </c>
      <c r="D3" s="2" t="s">
        <v>18</v>
      </c>
      <c r="E3" s="59">
        <v>0.0026</v>
      </c>
      <c r="F3" s="56">
        <v>39.53</v>
      </c>
      <c r="G3" s="56"/>
      <c r="H3" s="56">
        <f>E3*F3</f>
        <v>0.102778</v>
      </c>
      <c r="I3" s="2"/>
      <c r="J3" s="2"/>
    </row>
    <row r="4" spans="2:10" ht="28.8">
      <c r="B4" s="2">
        <v>96028</v>
      </c>
      <c r="C4" s="3" t="s">
        <v>169</v>
      </c>
      <c r="D4" s="2" t="s">
        <v>17</v>
      </c>
      <c r="E4" s="59">
        <v>0.0159</v>
      </c>
      <c r="F4" s="56">
        <v>169.34</v>
      </c>
      <c r="G4" s="56"/>
      <c r="H4" s="56">
        <f aca="true" t="shared" si="0" ref="H4:H14">E4*F4</f>
        <v>2.6925060000000003</v>
      </c>
      <c r="I4" s="2"/>
      <c r="J4" s="2"/>
    </row>
    <row r="5" spans="2:10" ht="28.8">
      <c r="B5" s="2">
        <v>95632</v>
      </c>
      <c r="C5" s="3" t="s">
        <v>12</v>
      </c>
      <c r="D5" s="2" t="s">
        <v>18</v>
      </c>
      <c r="E5" s="59">
        <v>0.015</v>
      </c>
      <c r="F5" s="56">
        <v>68.93</v>
      </c>
      <c r="G5" s="56"/>
      <c r="H5" s="56">
        <f t="shared" si="0"/>
        <v>1.0339500000000001</v>
      </c>
      <c r="I5" s="2"/>
      <c r="J5" s="2"/>
    </row>
    <row r="6" spans="2:10" ht="28.8">
      <c r="B6" s="2">
        <v>95631</v>
      </c>
      <c r="C6" s="3" t="s">
        <v>170</v>
      </c>
      <c r="D6" s="2" t="s">
        <v>17</v>
      </c>
      <c r="E6" s="59">
        <v>0.0035</v>
      </c>
      <c r="F6" s="56">
        <v>204.99</v>
      </c>
      <c r="G6" s="56"/>
      <c r="H6" s="56">
        <f t="shared" si="0"/>
        <v>0.717465</v>
      </c>
      <c r="I6" s="2"/>
      <c r="J6" s="2"/>
    </row>
    <row r="7" spans="2:10" ht="28.8">
      <c r="B7" s="2">
        <v>6880</v>
      </c>
      <c r="C7" s="3" t="s">
        <v>171</v>
      </c>
      <c r="D7" s="2" t="s">
        <v>18</v>
      </c>
      <c r="E7" s="59">
        <v>0.0167</v>
      </c>
      <c r="F7" s="56">
        <v>71.07</v>
      </c>
      <c r="G7" s="56"/>
      <c r="H7" s="56">
        <f t="shared" si="0"/>
        <v>1.186869</v>
      </c>
      <c r="I7" s="2"/>
      <c r="J7" s="2"/>
    </row>
    <row r="8" spans="2:10" ht="28.8">
      <c r="B8" s="2">
        <v>6879</v>
      </c>
      <c r="C8" s="3" t="s">
        <v>172</v>
      </c>
      <c r="D8" s="2" t="s">
        <v>17</v>
      </c>
      <c r="E8" s="59">
        <v>0.0019</v>
      </c>
      <c r="F8" s="56">
        <v>186.19</v>
      </c>
      <c r="G8" s="56"/>
      <c r="H8" s="56">
        <f t="shared" si="0"/>
        <v>0.353761</v>
      </c>
      <c r="I8" s="2"/>
      <c r="J8" s="2"/>
    </row>
    <row r="9" spans="2:10" ht="28.8">
      <c r="B9" s="2">
        <v>5934</v>
      </c>
      <c r="C9" s="3" t="s">
        <v>173</v>
      </c>
      <c r="D9" s="2" t="s">
        <v>18</v>
      </c>
      <c r="E9" s="59">
        <v>0.0026</v>
      </c>
      <c r="F9" s="56">
        <v>76.46</v>
      </c>
      <c r="G9" s="56"/>
      <c r="H9" s="56">
        <f t="shared" si="0"/>
        <v>0.19879599999999997</v>
      </c>
      <c r="I9" s="2"/>
      <c r="J9" s="2"/>
    </row>
    <row r="10" spans="2:10" ht="28.8">
      <c r="B10" s="2">
        <v>5932</v>
      </c>
      <c r="C10" s="3" t="s">
        <v>174</v>
      </c>
      <c r="D10" s="2" t="s">
        <v>17</v>
      </c>
      <c r="E10" s="59">
        <v>0.0159</v>
      </c>
      <c r="F10" s="56">
        <v>222.45</v>
      </c>
      <c r="G10" s="56"/>
      <c r="H10" s="56">
        <f t="shared" si="0"/>
        <v>3.536955</v>
      </c>
      <c r="I10" s="60"/>
      <c r="J10" s="2"/>
    </row>
    <row r="11" spans="2:10" ht="43.2">
      <c r="B11" s="2">
        <v>6260</v>
      </c>
      <c r="C11" s="3" t="s">
        <v>175</v>
      </c>
      <c r="D11" s="2" t="s">
        <v>18</v>
      </c>
      <c r="E11" s="59">
        <v>0.0104</v>
      </c>
      <c r="F11" s="56">
        <v>43.87</v>
      </c>
      <c r="G11" s="56"/>
      <c r="H11" s="56">
        <f t="shared" si="0"/>
        <v>0.45624799999999993</v>
      </c>
      <c r="I11" s="2"/>
      <c r="J11" s="2"/>
    </row>
    <row r="12" spans="2:10" ht="43.2">
      <c r="B12" s="2">
        <v>6259</v>
      </c>
      <c r="C12" s="3" t="s">
        <v>176</v>
      </c>
      <c r="D12" s="2" t="s">
        <v>17</v>
      </c>
      <c r="E12" s="59">
        <v>0.0267</v>
      </c>
      <c r="F12" s="56">
        <v>225.53</v>
      </c>
      <c r="G12" s="56"/>
      <c r="H12" s="56">
        <f t="shared" si="0"/>
        <v>6.021651</v>
      </c>
      <c r="I12" s="2"/>
      <c r="J12" s="2"/>
    </row>
    <row r="13" spans="2:10" ht="28.8">
      <c r="B13" s="2">
        <v>4746</v>
      </c>
      <c r="C13" s="3" t="s">
        <v>177</v>
      </c>
      <c r="D13" s="2" t="s">
        <v>28</v>
      </c>
      <c r="E13" s="59">
        <v>0.46</v>
      </c>
      <c r="F13" s="56">
        <v>69.83</v>
      </c>
      <c r="G13" s="56"/>
      <c r="H13" s="56">
        <f t="shared" si="0"/>
        <v>32.1218</v>
      </c>
      <c r="I13" s="2"/>
      <c r="J13" s="2"/>
    </row>
    <row r="14" spans="2:10" ht="28.8">
      <c r="B14" s="2">
        <v>95875</v>
      </c>
      <c r="C14" s="3" t="s">
        <v>178</v>
      </c>
      <c r="D14" s="2" t="s">
        <v>179</v>
      </c>
      <c r="E14" s="61">
        <v>10</v>
      </c>
      <c r="F14" s="56">
        <v>2.13</v>
      </c>
      <c r="G14" s="56"/>
      <c r="H14" s="56">
        <f t="shared" si="0"/>
        <v>21.299999999999997</v>
      </c>
      <c r="I14" s="2"/>
      <c r="J14" s="2"/>
    </row>
    <row r="15" spans="2:10" ht="15">
      <c r="B15" s="2">
        <v>88316</v>
      </c>
      <c r="C15" s="3" t="s">
        <v>64</v>
      </c>
      <c r="D15" s="2" t="s">
        <v>19</v>
      </c>
      <c r="E15" s="59">
        <v>0.09</v>
      </c>
      <c r="F15" s="56"/>
      <c r="G15" s="56">
        <v>18.8</v>
      </c>
      <c r="H15" s="56">
        <f>E15*G15</f>
        <v>1.692</v>
      </c>
      <c r="I15" s="2"/>
      <c r="J15" s="2"/>
    </row>
    <row r="17" ht="15">
      <c r="F17">
        <f>1*1*0.15</f>
        <v>0.15</v>
      </c>
    </row>
    <row r="21" ht="15">
      <c r="B21">
        <v>55246.68</v>
      </c>
    </row>
    <row r="22" ht="15">
      <c r="B22">
        <v>8287.06</v>
      </c>
    </row>
    <row r="23" ht="15">
      <c r="B23">
        <f>B22/B21</f>
        <v>0.15000104983684087</v>
      </c>
    </row>
    <row r="27" ht="15">
      <c r="B27" s="24">
        <f>8287.06*16</f>
        <v>132592.96</v>
      </c>
    </row>
  </sheetData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A1E2-A859-4A0E-865B-9A9866B61E13}">
  <sheetPr>
    <pageSetUpPr fitToPage="1"/>
  </sheetPr>
  <dimension ref="A1:I18"/>
  <sheetViews>
    <sheetView workbookViewId="0" topLeftCell="A1">
      <selection activeCell="L7" sqref="L7"/>
    </sheetView>
  </sheetViews>
  <sheetFormatPr defaultColWidth="9.140625" defaultRowHeight="15"/>
  <cols>
    <col min="2" max="2" width="65.7109375" style="0" customWidth="1"/>
    <col min="3" max="3" width="6.28125" style="1" customWidth="1"/>
    <col min="4" max="4" width="7.00390625" style="1" bestFit="1" customWidth="1"/>
    <col min="5" max="5" width="10.28125" style="1" bestFit="1" customWidth="1"/>
    <col min="6" max="6" width="11.8515625" style="1" bestFit="1" customWidth="1"/>
  </cols>
  <sheetData>
    <row r="1" spans="1:6" s="101" customFormat="1" ht="15">
      <c r="A1" s="137" t="s">
        <v>364</v>
      </c>
      <c r="B1" s="137"/>
      <c r="C1" s="137"/>
      <c r="D1" s="137"/>
      <c r="E1" s="137"/>
      <c r="F1" s="137"/>
    </row>
    <row r="2" spans="1:6" s="101" customFormat="1" ht="15">
      <c r="A2" s="138" t="s">
        <v>366</v>
      </c>
      <c r="B2" s="138"/>
      <c r="C2" s="138"/>
      <c r="D2" s="138"/>
      <c r="E2" s="138"/>
      <c r="F2" s="138"/>
    </row>
    <row r="3" spans="1:6" ht="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43.2">
      <c r="A4" s="2">
        <v>5835</v>
      </c>
      <c r="B4" s="3" t="s">
        <v>7</v>
      </c>
      <c r="C4" s="4" t="s">
        <v>17</v>
      </c>
      <c r="D4" s="4">
        <v>0.1</v>
      </c>
      <c r="E4" s="5">
        <v>414.69</v>
      </c>
      <c r="F4" s="5">
        <f>D4*E4</f>
        <v>41.469</v>
      </c>
    </row>
    <row r="5" spans="1:6" ht="43.2">
      <c r="A5" s="2">
        <v>5837</v>
      </c>
      <c r="B5" s="3" t="s">
        <v>8</v>
      </c>
      <c r="C5" s="4" t="s">
        <v>18</v>
      </c>
      <c r="D5" s="4">
        <v>0.1415</v>
      </c>
      <c r="E5" s="5">
        <v>153.76</v>
      </c>
      <c r="F5" s="5">
        <f>D5*E5</f>
        <v>21.757039999999996</v>
      </c>
    </row>
    <row r="6" spans="1:6" ht="15">
      <c r="A6" s="2">
        <v>88314</v>
      </c>
      <c r="B6" s="3" t="s">
        <v>9</v>
      </c>
      <c r="C6" s="4" t="s">
        <v>19</v>
      </c>
      <c r="D6" s="4">
        <v>1.3289</v>
      </c>
      <c r="E6" s="5">
        <v>17.59</v>
      </c>
      <c r="F6" s="5">
        <f aca="true" t="shared" si="0" ref="F6:F13">D6*E6</f>
        <v>23.375351</v>
      </c>
    </row>
    <row r="7" spans="1:6" ht="57.6">
      <c r="A7" s="2">
        <v>91386</v>
      </c>
      <c r="B7" s="3" t="s">
        <v>10</v>
      </c>
      <c r="C7" s="4" t="s">
        <v>17</v>
      </c>
      <c r="D7" s="4">
        <v>0.0668</v>
      </c>
      <c r="E7" s="5">
        <v>234.71</v>
      </c>
      <c r="F7" s="5">
        <f t="shared" si="0"/>
        <v>15.678628</v>
      </c>
    </row>
    <row r="8" spans="1:6" ht="43.2">
      <c r="A8" s="2">
        <v>95631</v>
      </c>
      <c r="B8" s="3" t="s">
        <v>11</v>
      </c>
      <c r="C8" s="4" t="s">
        <v>17</v>
      </c>
      <c r="D8" s="4">
        <v>0.1423</v>
      </c>
      <c r="E8" s="5">
        <v>204.99</v>
      </c>
      <c r="F8" s="5">
        <f t="shared" si="0"/>
        <v>29.170077000000003</v>
      </c>
    </row>
    <row r="9" spans="1:6" ht="43.2">
      <c r="A9" s="2">
        <v>95632</v>
      </c>
      <c r="B9" s="3" t="s">
        <v>12</v>
      </c>
      <c r="C9" s="4" t="s">
        <v>18</v>
      </c>
      <c r="D9" s="4">
        <v>0.1783</v>
      </c>
      <c r="E9" s="5">
        <v>68.93</v>
      </c>
      <c r="F9" s="5">
        <f t="shared" si="0"/>
        <v>12.290219</v>
      </c>
    </row>
    <row r="10" spans="1:6" ht="28.8">
      <c r="A10" s="2">
        <v>96155</v>
      </c>
      <c r="B10" s="3" t="s">
        <v>13</v>
      </c>
      <c r="C10" s="4" t="s">
        <v>18</v>
      </c>
      <c r="D10" s="4">
        <v>0.1582</v>
      </c>
      <c r="E10" s="5">
        <v>39.82</v>
      </c>
      <c r="F10" s="5">
        <f t="shared" si="0"/>
        <v>6.299524</v>
      </c>
    </row>
    <row r="11" spans="1:6" ht="43.2">
      <c r="A11" s="2">
        <v>96463</v>
      </c>
      <c r="B11" s="3" t="s">
        <v>15</v>
      </c>
      <c r="C11" s="4" t="s">
        <v>17</v>
      </c>
      <c r="D11" s="4">
        <v>0.0376</v>
      </c>
      <c r="E11" s="5">
        <v>192.05</v>
      </c>
      <c r="F11" s="5">
        <f t="shared" si="0"/>
        <v>7.221080000000001</v>
      </c>
    </row>
    <row r="12" spans="1:6" ht="43.2">
      <c r="A12" s="2">
        <v>96464</v>
      </c>
      <c r="B12" s="3" t="s">
        <v>14</v>
      </c>
      <c r="C12" s="4" t="s">
        <v>18</v>
      </c>
      <c r="D12" s="4">
        <v>0.7065</v>
      </c>
      <c r="E12" s="5">
        <v>74.13</v>
      </c>
      <c r="F12" s="5">
        <f t="shared" si="0"/>
        <v>52.372845</v>
      </c>
    </row>
    <row r="13" spans="1:9" ht="43.2">
      <c r="A13" s="2" t="s">
        <v>6</v>
      </c>
      <c r="B13" s="3" t="s">
        <v>16</v>
      </c>
      <c r="C13" s="4" t="s">
        <v>20</v>
      </c>
      <c r="D13" s="4">
        <v>2.55</v>
      </c>
      <c r="E13" s="5">
        <v>590</v>
      </c>
      <c r="F13" s="5">
        <f t="shared" si="0"/>
        <v>1504.5</v>
      </c>
      <c r="I13">
        <v>445.33</v>
      </c>
    </row>
    <row r="14" spans="1:7" ht="15">
      <c r="A14" s="134" t="s">
        <v>21</v>
      </c>
      <c r="B14" s="135"/>
      <c r="C14" s="135"/>
      <c r="D14" s="135"/>
      <c r="E14" s="136"/>
      <c r="F14" s="8">
        <f>ROUND(SUM(F4:F13),2)</f>
        <v>1714.13</v>
      </c>
      <c r="G14">
        <v>1.2097</v>
      </c>
    </row>
    <row r="15" ht="15">
      <c r="G15">
        <f>F14*G14</f>
        <v>2073.5830610000003</v>
      </c>
    </row>
    <row r="18" ht="15">
      <c r="E18" s="1">
        <v>513.49</v>
      </c>
    </row>
  </sheetData>
  <mergeCells count="3">
    <mergeCell ref="A14:E14"/>
    <mergeCell ref="A1:F1"/>
    <mergeCell ref="A2:F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65DA5-360E-446E-B47E-20BA507FC541}">
  <sheetPr>
    <pageSetUpPr fitToPage="1"/>
  </sheetPr>
  <dimension ref="A1:J19"/>
  <sheetViews>
    <sheetView zoomScale="79" zoomScaleNormal="79" workbookViewId="0" topLeftCell="A1">
      <selection activeCell="M13" sqref="M13"/>
    </sheetView>
  </sheetViews>
  <sheetFormatPr defaultColWidth="9.140625" defaultRowHeight="15"/>
  <cols>
    <col min="2" max="2" width="8.00390625" style="0" bestFit="1" customWidth="1"/>
    <col min="3" max="3" width="40.421875" style="0" customWidth="1"/>
    <col min="4" max="4" width="40.28125" style="0" customWidth="1"/>
    <col min="6" max="7" width="15.421875" style="0" customWidth="1"/>
    <col min="8" max="8" width="11.7109375" style="0" customWidth="1"/>
    <col min="9" max="9" width="15.28125" style="0" customWidth="1"/>
    <col min="10" max="10" width="18.7109375" style="0" customWidth="1"/>
  </cols>
  <sheetData>
    <row r="1" spans="1:10" ht="15">
      <c r="A1" s="143" t="s">
        <v>108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">
      <c r="A2" s="139" t="s">
        <v>32</v>
      </c>
      <c r="B2" s="140"/>
      <c r="C2" s="140" t="s">
        <v>105</v>
      </c>
      <c r="D2" s="142"/>
      <c r="E2" s="142"/>
      <c r="F2" s="142"/>
      <c r="G2" s="142"/>
      <c r="H2" s="142"/>
      <c r="I2" s="142"/>
      <c r="J2" s="142"/>
    </row>
    <row r="3" spans="1:10" ht="15">
      <c r="A3" s="139" t="s">
        <v>33</v>
      </c>
      <c r="B3" s="140"/>
      <c r="C3" s="140" t="s">
        <v>22</v>
      </c>
      <c r="D3" s="142"/>
      <c r="E3" s="142"/>
      <c r="F3" s="142"/>
      <c r="G3" s="142"/>
      <c r="H3" s="142"/>
      <c r="I3" s="142"/>
      <c r="J3" s="142"/>
    </row>
    <row r="4" spans="1:10" ht="15">
      <c r="A4" s="139" t="s">
        <v>34</v>
      </c>
      <c r="B4" s="140"/>
      <c r="C4" s="141">
        <v>44562</v>
      </c>
      <c r="D4" s="142"/>
      <c r="E4" s="142"/>
      <c r="F4" s="142"/>
      <c r="G4" s="142"/>
      <c r="H4" s="142"/>
      <c r="I4" s="142"/>
      <c r="J4" s="142"/>
    </row>
    <row r="5" spans="1:10" ht="15">
      <c r="A5" s="139" t="s">
        <v>35</v>
      </c>
      <c r="B5" s="140"/>
      <c r="C5" s="140" t="s">
        <v>36</v>
      </c>
      <c r="D5" s="142"/>
      <c r="E5" s="142"/>
      <c r="F5" s="142"/>
      <c r="G5" s="142"/>
      <c r="H5" s="142"/>
      <c r="I5" s="142"/>
      <c r="J5" s="142"/>
    </row>
    <row r="6" spans="1:10" ht="15">
      <c r="A6" s="139" t="s">
        <v>37</v>
      </c>
      <c r="B6" s="140"/>
      <c r="C6" s="140" t="s">
        <v>38</v>
      </c>
      <c r="D6" s="142"/>
      <c r="E6" s="142"/>
      <c r="F6" s="142"/>
      <c r="G6" s="142"/>
      <c r="H6" s="142"/>
      <c r="I6" s="142"/>
      <c r="J6" s="142"/>
    </row>
    <row r="7" spans="1:10" ht="15">
      <c r="A7" s="139" t="s">
        <v>39</v>
      </c>
      <c r="B7" s="140"/>
      <c r="C7" s="140" t="s">
        <v>40</v>
      </c>
      <c r="D7" s="142"/>
      <c r="E7" s="142"/>
      <c r="F7" s="142"/>
      <c r="G7" s="142"/>
      <c r="H7" s="142"/>
      <c r="I7" s="142"/>
      <c r="J7" s="142"/>
    </row>
    <row r="8" spans="1:10" ht="15">
      <c r="A8" s="139" t="s">
        <v>41</v>
      </c>
      <c r="B8" s="140"/>
      <c r="C8" s="140">
        <f>I11+I12+I13+I14+I15+I16+I17+I18</f>
        <v>8.64</v>
      </c>
      <c r="D8" s="142"/>
      <c r="E8" s="142"/>
      <c r="F8" s="142"/>
      <c r="G8" s="142"/>
      <c r="H8" s="142"/>
      <c r="I8" s="142"/>
      <c r="J8" s="142"/>
    </row>
    <row r="9" spans="1:10" ht="15">
      <c r="A9" s="139" t="s">
        <v>42</v>
      </c>
      <c r="B9" s="140"/>
      <c r="C9" s="144">
        <f>J11+J12+J13+J14+J15+J16+J17+J18</f>
        <v>8.6</v>
      </c>
      <c r="D9" s="145"/>
      <c r="E9" s="145"/>
      <c r="F9" s="145"/>
      <c r="G9" s="145"/>
      <c r="H9" s="145"/>
      <c r="I9" s="145"/>
      <c r="J9" s="145"/>
    </row>
    <row r="10" spans="1:10" ht="27.6">
      <c r="A10" s="12"/>
      <c r="B10" s="12" t="s">
        <v>43</v>
      </c>
      <c r="C10" s="12" t="s">
        <v>33</v>
      </c>
      <c r="D10" s="12" t="s">
        <v>37</v>
      </c>
      <c r="E10" s="13" t="s">
        <v>39</v>
      </c>
      <c r="F10" s="14" t="s">
        <v>41</v>
      </c>
      <c r="G10" s="14" t="s">
        <v>42</v>
      </c>
      <c r="H10" s="14" t="s">
        <v>44</v>
      </c>
      <c r="I10" s="14" t="s">
        <v>41</v>
      </c>
      <c r="J10" s="14" t="s">
        <v>42</v>
      </c>
    </row>
    <row r="11" spans="1:10" ht="52.8">
      <c r="A11" s="15" t="s">
        <v>45</v>
      </c>
      <c r="B11" s="15" t="s">
        <v>46</v>
      </c>
      <c r="C11" s="15" t="s">
        <v>47</v>
      </c>
      <c r="D11" s="15" t="s">
        <v>48</v>
      </c>
      <c r="E11" s="16" t="s">
        <v>17</v>
      </c>
      <c r="F11" s="17" t="s">
        <v>49</v>
      </c>
      <c r="G11" s="17" t="s">
        <v>49</v>
      </c>
      <c r="H11" s="17" t="s">
        <v>50</v>
      </c>
      <c r="I11" s="17" t="s">
        <v>51</v>
      </c>
      <c r="J11" s="17" t="s">
        <v>51</v>
      </c>
    </row>
    <row r="12" spans="1:10" ht="52.8">
      <c r="A12" s="15" t="s">
        <v>45</v>
      </c>
      <c r="B12" s="15" t="s">
        <v>52</v>
      </c>
      <c r="C12" s="15" t="s">
        <v>53</v>
      </c>
      <c r="D12" s="15" t="s">
        <v>48</v>
      </c>
      <c r="E12" s="16" t="s">
        <v>18</v>
      </c>
      <c r="F12" s="17" t="s">
        <v>54</v>
      </c>
      <c r="G12" s="17" t="s">
        <v>54</v>
      </c>
      <c r="H12" s="17" t="s">
        <v>55</v>
      </c>
      <c r="I12" s="17" t="s">
        <v>51</v>
      </c>
      <c r="J12" s="17" t="s">
        <v>51</v>
      </c>
    </row>
    <row r="13" spans="1:10" ht="92.4">
      <c r="A13" s="15" t="s">
        <v>45</v>
      </c>
      <c r="B13" s="15" t="s">
        <v>56</v>
      </c>
      <c r="C13" s="15" t="s">
        <v>57</v>
      </c>
      <c r="D13" s="15" t="s">
        <v>48</v>
      </c>
      <c r="E13" s="16" t="s">
        <v>17</v>
      </c>
      <c r="F13" s="17" t="s">
        <v>58</v>
      </c>
      <c r="G13" s="17" t="s">
        <v>59</v>
      </c>
      <c r="H13" s="17" t="s">
        <v>60</v>
      </c>
      <c r="I13" s="17" t="s">
        <v>61</v>
      </c>
      <c r="J13" s="17" t="s">
        <v>62</v>
      </c>
    </row>
    <row r="14" spans="1:10" ht="26.4">
      <c r="A14" s="15" t="s">
        <v>45</v>
      </c>
      <c r="B14" s="15" t="s">
        <v>63</v>
      </c>
      <c r="C14" s="15" t="s">
        <v>64</v>
      </c>
      <c r="D14" s="15" t="s">
        <v>65</v>
      </c>
      <c r="E14" s="16" t="s">
        <v>19</v>
      </c>
      <c r="F14" s="17" t="s">
        <v>66</v>
      </c>
      <c r="G14" s="17" t="s">
        <v>67</v>
      </c>
      <c r="H14" s="17" t="s">
        <v>68</v>
      </c>
      <c r="I14" s="17" t="s">
        <v>69</v>
      </c>
      <c r="J14" s="17" t="s">
        <v>70</v>
      </c>
    </row>
    <row r="15" spans="1:10" ht="39.6">
      <c r="A15" s="15" t="s">
        <v>45</v>
      </c>
      <c r="B15" s="15" t="s">
        <v>71</v>
      </c>
      <c r="C15" s="15" t="s">
        <v>72</v>
      </c>
      <c r="D15" s="15" t="s">
        <v>48</v>
      </c>
      <c r="E15" s="16" t="s">
        <v>17</v>
      </c>
      <c r="F15" s="17" t="s">
        <v>73</v>
      </c>
      <c r="G15" s="17" t="s">
        <v>74</v>
      </c>
      <c r="H15" s="17" t="s">
        <v>75</v>
      </c>
      <c r="I15" s="17" t="s">
        <v>61</v>
      </c>
      <c r="J15" s="17" t="s">
        <v>61</v>
      </c>
    </row>
    <row r="16" spans="1:10" ht="39.6">
      <c r="A16" s="15" t="s">
        <v>45</v>
      </c>
      <c r="B16" s="15" t="s">
        <v>76</v>
      </c>
      <c r="C16" s="15" t="s">
        <v>77</v>
      </c>
      <c r="D16" s="15" t="s">
        <v>48</v>
      </c>
      <c r="E16" s="16" t="s">
        <v>18</v>
      </c>
      <c r="F16" s="17" t="s">
        <v>78</v>
      </c>
      <c r="G16" s="17" t="s">
        <v>79</v>
      </c>
      <c r="H16" s="17" t="s">
        <v>80</v>
      </c>
      <c r="I16" s="17" t="s">
        <v>81</v>
      </c>
      <c r="J16" s="17" t="s">
        <v>82</v>
      </c>
    </row>
    <row r="17" spans="1:10" ht="92.4">
      <c r="A17" s="15" t="s">
        <v>45</v>
      </c>
      <c r="B17" s="15" t="s">
        <v>83</v>
      </c>
      <c r="C17" s="15" t="s">
        <v>84</v>
      </c>
      <c r="D17" s="15" t="s">
        <v>48</v>
      </c>
      <c r="E17" s="16" t="s">
        <v>18</v>
      </c>
      <c r="F17" s="17" t="s">
        <v>85</v>
      </c>
      <c r="G17" s="17" t="s">
        <v>86</v>
      </c>
      <c r="H17" s="17" t="s">
        <v>87</v>
      </c>
      <c r="I17" s="17" t="s">
        <v>88</v>
      </c>
      <c r="J17" s="17" t="s">
        <v>89</v>
      </c>
    </row>
    <row r="18" spans="1:10" ht="39.6">
      <c r="A18" s="18" t="s">
        <v>90</v>
      </c>
      <c r="B18" s="18" t="s">
        <v>91</v>
      </c>
      <c r="C18" s="18" t="s">
        <v>92</v>
      </c>
      <c r="D18" s="18" t="s">
        <v>93</v>
      </c>
      <c r="E18" s="19" t="s">
        <v>94</v>
      </c>
      <c r="F18" s="20">
        <v>6.5</v>
      </c>
      <c r="G18" s="20">
        <v>6.5</v>
      </c>
      <c r="H18" s="20" t="s">
        <v>95</v>
      </c>
      <c r="I18" s="20">
        <f>H18*F18</f>
        <v>7.8</v>
      </c>
      <c r="J18" s="20">
        <f>G18*H18</f>
        <v>7.8</v>
      </c>
    </row>
    <row r="19" ht="15">
      <c r="F19" s="9"/>
    </row>
  </sheetData>
  <mergeCells count="17">
    <mergeCell ref="A8:B8"/>
    <mergeCell ref="C8:J8"/>
    <mergeCell ref="A9:B9"/>
    <mergeCell ref="C9:J9"/>
    <mergeCell ref="A5:B5"/>
    <mergeCell ref="C5:J5"/>
    <mergeCell ref="A6:B6"/>
    <mergeCell ref="C6:J6"/>
    <mergeCell ref="A7:B7"/>
    <mergeCell ref="C7:J7"/>
    <mergeCell ref="A4:B4"/>
    <mergeCell ref="C4:J4"/>
    <mergeCell ref="A1:J1"/>
    <mergeCell ref="A2:B2"/>
    <mergeCell ref="C2:J2"/>
    <mergeCell ref="A3:B3"/>
    <mergeCell ref="C3:J3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1F9E1-5DA0-48BF-B07F-58538C90788D}">
  <sheetPr>
    <pageSetUpPr fitToPage="1"/>
  </sheetPr>
  <dimension ref="A1:O20"/>
  <sheetViews>
    <sheetView zoomScale="81" zoomScaleNormal="81" workbookViewId="0" topLeftCell="A13">
      <selection activeCell="C29" sqref="C29"/>
    </sheetView>
  </sheetViews>
  <sheetFormatPr defaultColWidth="9.140625" defaultRowHeight="15"/>
  <cols>
    <col min="3" max="3" width="44.28125" style="0" customWidth="1"/>
    <col min="4" max="4" width="16.7109375" style="0" customWidth="1"/>
    <col min="6" max="6" width="14.140625" style="0" customWidth="1"/>
    <col min="7" max="7" width="13.7109375" style="0" customWidth="1"/>
    <col min="8" max="8" width="12.57421875" style="0" customWidth="1"/>
    <col min="9" max="9" width="14.7109375" style="0" customWidth="1"/>
    <col min="10" max="10" width="17.421875" style="0" customWidth="1"/>
  </cols>
  <sheetData>
    <row r="1" spans="1:10" ht="15">
      <c r="A1" s="143" t="s">
        <v>109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">
      <c r="A2" s="139" t="s">
        <v>32</v>
      </c>
      <c r="B2" s="140"/>
      <c r="C2" s="140" t="s">
        <v>106</v>
      </c>
      <c r="D2" s="142"/>
      <c r="E2" s="142"/>
      <c r="F2" s="142"/>
      <c r="G2" s="142"/>
      <c r="H2" s="142"/>
      <c r="I2" s="142"/>
      <c r="J2" s="142"/>
    </row>
    <row r="3" spans="1:10" ht="15">
      <c r="A3" s="139" t="s">
        <v>33</v>
      </c>
      <c r="B3" s="140"/>
      <c r="C3" s="140" t="s">
        <v>23</v>
      </c>
      <c r="D3" s="142"/>
      <c r="E3" s="142"/>
      <c r="F3" s="142"/>
      <c r="G3" s="142"/>
      <c r="H3" s="142"/>
      <c r="I3" s="142"/>
      <c r="J3" s="142"/>
    </row>
    <row r="4" spans="1:10" ht="15">
      <c r="A4" s="139" t="s">
        <v>34</v>
      </c>
      <c r="B4" s="140"/>
      <c r="C4" s="140" t="s">
        <v>107</v>
      </c>
      <c r="D4" s="142"/>
      <c r="E4" s="142"/>
      <c r="F4" s="142"/>
      <c r="G4" s="142"/>
      <c r="H4" s="142"/>
      <c r="I4" s="142"/>
      <c r="J4" s="142"/>
    </row>
    <row r="5" spans="1:10" ht="15">
      <c r="A5" s="139" t="s">
        <v>35</v>
      </c>
      <c r="B5" s="140"/>
      <c r="C5" s="140" t="s">
        <v>36</v>
      </c>
      <c r="D5" s="142"/>
      <c r="E5" s="142"/>
      <c r="F5" s="142"/>
      <c r="G5" s="142"/>
      <c r="H5" s="142"/>
      <c r="I5" s="142"/>
      <c r="J5" s="142"/>
    </row>
    <row r="6" spans="1:10" ht="15">
      <c r="A6" s="139" t="s">
        <v>37</v>
      </c>
      <c r="B6" s="140"/>
      <c r="C6" s="140" t="s">
        <v>38</v>
      </c>
      <c r="D6" s="142"/>
      <c r="E6" s="142"/>
      <c r="F6" s="142"/>
      <c r="G6" s="142"/>
      <c r="H6" s="142"/>
      <c r="I6" s="142"/>
      <c r="J6" s="142"/>
    </row>
    <row r="7" spans="1:10" ht="15">
      <c r="A7" s="139" t="s">
        <v>39</v>
      </c>
      <c r="B7" s="140"/>
      <c r="C7" s="140" t="s">
        <v>40</v>
      </c>
      <c r="D7" s="142"/>
      <c r="E7" s="142"/>
      <c r="F7" s="142"/>
      <c r="G7" s="142"/>
      <c r="H7" s="142"/>
      <c r="I7" s="142"/>
      <c r="J7" s="142"/>
    </row>
    <row r="8" spans="1:10" ht="15">
      <c r="A8" s="139" t="s">
        <v>41</v>
      </c>
      <c r="B8" s="140"/>
      <c r="C8" s="144">
        <f>I11+I12+I13+I14+I15+I16+I17+I18</f>
        <v>2.38</v>
      </c>
      <c r="D8" s="142"/>
      <c r="E8" s="142"/>
      <c r="F8" s="142"/>
      <c r="G8" s="142"/>
      <c r="H8" s="142"/>
      <c r="I8" s="142"/>
      <c r="J8" s="142"/>
    </row>
    <row r="9" spans="1:10" ht="15">
      <c r="A9" s="139" t="s">
        <v>42</v>
      </c>
      <c r="B9" s="140"/>
      <c r="C9" s="144">
        <f>J11+J12+J13+J14+J15+J16+J17+J18</f>
        <v>2.3499999999999996</v>
      </c>
      <c r="D9" s="142"/>
      <c r="E9" s="142"/>
      <c r="F9" s="142"/>
      <c r="G9" s="142"/>
      <c r="H9" s="142"/>
      <c r="I9" s="142"/>
      <c r="J9" s="142"/>
    </row>
    <row r="10" spans="1:10" ht="41.4">
      <c r="A10" s="12"/>
      <c r="B10" s="12" t="s">
        <v>43</v>
      </c>
      <c r="C10" s="12" t="s">
        <v>33</v>
      </c>
      <c r="D10" s="12" t="s">
        <v>37</v>
      </c>
      <c r="E10" s="13" t="s">
        <v>39</v>
      </c>
      <c r="F10" s="14" t="s">
        <v>41</v>
      </c>
      <c r="G10" s="14" t="s">
        <v>42</v>
      </c>
      <c r="H10" s="14" t="s">
        <v>44</v>
      </c>
      <c r="I10" s="14" t="s">
        <v>41</v>
      </c>
      <c r="J10" s="14" t="s">
        <v>42</v>
      </c>
    </row>
    <row r="11" spans="1:10" ht="52.8">
      <c r="A11" s="15" t="s">
        <v>45</v>
      </c>
      <c r="B11" s="15" t="s">
        <v>46</v>
      </c>
      <c r="C11" s="15" t="s">
        <v>47</v>
      </c>
      <c r="D11" s="15" t="s">
        <v>48</v>
      </c>
      <c r="E11" s="16" t="s">
        <v>17</v>
      </c>
      <c r="F11" s="17" t="s">
        <v>49</v>
      </c>
      <c r="G11" s="17" t="s">
        <v>49</v>
      </c>
      <c r="H11" s="17" t="s">
        <v>50</v>
      </c>
      <c r="I11" s="17" t="s">
        <v>51</v>
      </c>
      <c r="J11" s="17" t="s">
        <v>51</v>
      </c>
    </row>
    <row r="12" spans="1:10" ht="52.8">
      <c r="A12" s="15" t="s">
        <v>45</v>
      </c>
      <c r="B12" s="15" t="s">
        <v>52</v>
      </c>
      <c r="C12" s="15" t="s">
        <v>53</v>
      </c>
      <c r="D12" s="15" t="s">
        <v>48</v>
      </c>
      <c r="E12" s="16" t="s">
        <v>18</v>
      </c>
      <c r="F12" s="17" t="s">
        <v>54</v>
      </c>
      <c r="G12" s="17" t="s">
        <v>54</v>
      </c>
      <c r="H12" s="17" t="s">
        <v>55</v>
      </c>
      <c r="I12" s="17" t="s">
        <v>51</v>
      </c>
      <c r="J12" s="17" t="s">
        <v>51</v>
      </c>
    </row>
    <row r="13" spans="1:10" ht="79.2">
      <c r="A13" s="15" t="s">
        <v>45</v>
      </c>
      <c r="B13" s="15" t="s">
        <v>56</v>
      </c>
      <c r="C13" s="15" t="s">
        <v>57</v>
      </c>
      <c r="D13" s="15" t="s">
        <v>48</v>
      </c>
      <c r="E13" s="16" t="s">
        <v>17</v>
      </c>
      <c r="F13" s="17" t="s">
        <v>58</v>
      </c>
      <c r="G13" s="17" t="s">
        <v>59</v>
      </c>
      <c r="H13" s="17" t="s">
        <v>96</v>
      </c>
      <c r="I13" s="17" t="s">
        <v>70</v>
      </c>
      <c r="J13" s="17" t="s">
        <v>70</v>
      </c>
    </row>
    <row r="14" spans="1:10" ht="26.4">
      <c r="A14" s="15" t="s">
        <v>45</v>
      </c>
      <c r="B14" s="15" t="s">
        <v>63</v>
      </c>
      <c r="C14" s="15" t="s">
        <v>64</v>
      </c>
      <c r="D14" s="15" t="s">
        <v>65</v>
      </c>
      <c r="E14" s="16" t="s">
        <v>19</v>
      </c>
      <c r="F14" s="17" t="s">
        <v>66</v>
      </c>
      <c r="G14" s="17" t="s">
        <v>67</v>
      </c>
      <c r="H14" s="17" t="s">
        <v>97</v>
      </c>
      <c r="I14" s="17" t="s">
        <v>69</v>
      </c>
      <c r="J14" s="17" t="s">
        <v>70</v>
      </c>
    </row>
    <row r="15" spans="1:10" ht="52.8">
      <c r="A15" s="15" t="s">
        <v>45</v>
      </c>
      <c r="B15" s="15" t="s">
        <v>71</v>
      </c>
      <c r="C15" s="15" t="s">
        <v>72</v>
      </c>
      <c r="D15" s="15" t="s">
        <v>48</v>
      </c>
      <c r="E15" s="16" t="s">
        <v>17</v>
      </c>
      <c r="F15" s="17" t="s">
        <v>73</v>
      </c>
      <c r="G15" s="17" t="s">
        <v>74</v>
      </c>
      <c r="H15" s="17" t="s">
        <v>75</v>
      </c>
      <c r="I15" s="17" t="s">
        <v>61</v>
      </c>
      <c r="J15" s="17" t="s">
        <v>61</v>
      </c>
    </row>
    <row r="16" spans="1:15" ht="52.8">
      <c r="A16" s="15" t="s">
        <v>45</v>
      </c>
      <c r="B16" s="15" t="s">
        <v>76</v>
      </c>
      <c r="C16" s="15" t="s">
        <v>77</v>
      </c>
      <c r="D16" s="15" t="s">
        <v>48</v>
      </c>
      <c r="E16" s="16" t="s">
        <v>18</v>
      </c>
      <c r="F16" s="17" t="s">
        <v>78</v>
      </c>
      <c r="G16" s="17" t="s">
        <v>79</v>
      </c>
      <c r="H16" s="17" t="s">
        <v>98</v>
      </c>
      <c r="I16" s="17" t="s">
        <v>82</v>
      </c>
      <c r="J16" s="17" t="s">
        <v>99</v>
      </c>
      <c r="N16">
        <f>1*1*0.15</f>
        <v>0.15</v>
      </c>
      <c r="O16">
        <f>1/N16</f>
        <v>6.666666666666667</v>
      </c>
    </row>
    <row r="17" spans="1:10" ht="79.2">
      <c r="A17" s="15" t="s">
        <v>45</v>
      </c>
      <c r="B17" s="15" t="s">
        <v>83</v>
      </c>
      <c r="C17" s="15" t="s">
        <v>84</v>
      </c>
      <c r="D17" s="15" t="s">
        <v>48</v>
      </c>
      <c r="E17" s="16" t="s">
        <v>18</v>
      </c>
      <c r="F17" s="17" t="s">
        <v>85</v>
      </c>
      <c r="G17" s="17" t="s">
        <v>86</v>
      </c>
      <c r="H17" s="17" t="s">
        <v>100</v>
      </c>
      <c r="I17" s="17" t="s">
        <v>62</v>
      </c>
      <c r="J17" s="17" t="s">
        <v>88</v>
      </c>
    </row>
    <row r="18" spans="1:10" ht="52.8">
      <c r="A18" s="18" t="s">
        <v>90</v>
      </c>
      <c r="B18" s="18" t="s">
        <v>101</v>
      </c>
      <c r="C18" s="18" t="s">
        <v>102</v>
      </c>
      <c r="D18" s="18" t="s">
        <v>93</v>
      </c>
      <c r="E18" s="19" t="s">
        <v>94</v>
      </c>
      <c r="F18" s="20">
        <v>3.71</v>
      </c>
      <c r="G18" s="20">
        <v>3.71</v>
      </c>
      <c r="H18" s="20" t="s">
        <v>103</v>
      </c>
      <c r="I18" s="22">
        <f>ROUND(F18*H18,2)</f>
        <v>1.67</v>
      </c>
      <c r="J18" s="22">
        <f>ROUND(G18*H18,2)</f>
        <v>1.67</v>
      </c>
    </row>
    <row r="19" ht="15">
      <c r="F19">
        <v>3710.01</v>
      </c>
    </row>
    <row r="20" ht="15">
      <c r="F20">
        <f>F19/1000</f>
        <v>3.71001</v>
      </c>
    </row>
  </sheetData>
  <mergeCells count="17">
    <mergeCell ref="A8:B8"/>
    <mergeCell ref="C8:J8"/>
    <mergeCell ref="A9:B9"/>
    <mergeCell ref="C9:J9"/>
    <mergeCell ref="A5:B5"/>
    <mergeCell ref="C5:J5"/>
    <mergeCell ref="A6:B6"/>
    <mergeCell ref="C6:J6"/>
    <mergeCell ref="A7:B7"/>
    <mergeCell ref="C7:J7"/>
    <mergeCell ref="A4:B4"/>
    <mergeCell ref="C4:J4"/>
    <mergeCell ref="A1:J1"/>
    <mergeCell ref="A2:B2"/>
    <mergeCell ref="C2:J2"/>
    <mergeCell ref="A3:B3"/>
    <mergeCell ref="C3:J3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1029-7134-4F90-AB57-5D571C508CD4}">
  <sheetPr>
    <pageSetUpPr fitToPage="1"/>
  </sheetPr>
  <dimension ref="A1:J17"/>
  <sheetViews>
    <sheetView showOutlineSymbols="0" workbookViewId="0" topLeftCell="A1">
      <selection activeCell="F21" sqref="F21"/>
    </sheetView>
  </sheetViews>
  <sheetFormatPr defaultColWidth="8.8515625" defaultRowHeight="15"/>
  <cols>
    <col min="1" max="1" width="3.28125" style="62" bestFit="1" customWidth="1"/>
    <col min="2" max="2" width="11.140625" style="62" bestFit="1" customWidth="1"/>
    <col min="3" max="3" width="44.140625" style="62" customWidth="1"/>
    <col min="4" max="4" width="22.8515625" style="62" customWidth="1"/>
    <col min="5" max="5" width="11.140625" style="62" bestFit="1" customWidth="1"/>
    <col min="6" max="10" width="13.28125" style="62" bestFit="1" customWidth="1"/>
    <col min="11" max="16384" width="8.8515625" style="62" customWidth="1"/>
  </cols>
  <sheetData>
    <row r="1" spans="1:10" ht="15">
      <c r="A1" s="133" t="s">
        <v>223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>
      <c r="A2" s="130" t="s">
        <v>32</v>
      </c>
      <c r="B2" s="131"/>
      <c r="C2" s="131" t="s">
        <v>224</v>
      </c>
      <c r="D2" s="132"/>
      <c r="E2" s="132"/>
      <c r="F2" s="132"/>
      <c r="G2" s="132"/>
      <c r="H2" s="132"/>
      <c r="I2" s="132"/>
      <c r="J2" s="132"/>
    </row>
    <row r="3" spans="1:10" ht="15">
      <c r="A3" s="130" t="s">
        <v>33</v>
      </c>
      <c r="B3" s="131"/>
      <c r="C3" s="131" t="s">
        <v>225</v>
      </c>
      <c r="D3" s="132"/>
      <c r="E3" s="132"/>
      <c r="F3" s="132"/>
      <c r="G3" s="132"/>
      <c r="H3" s="132"/>
      <c r="I3" s="132"/>
      <c r="J3" s="132"/>
    </row>
    <row r="4" spans="1:10" ht="15">
      <c r="A4" s="130" t="s">
        <v>34</v>
      </c>
      <c r="B4" s="131"/>
      <c r="C4" s="131" t="s">
        <v>194</v>
      </c>
      <c r="D4" s="132"/>
      <c r="E4" s="132"/>
      <c r="F4" s="132"/>
      <c r="G4" s="132"/>
      <c r="H4" s="132"/>
      <c r="I4" s="132"/>
      <c r="J4" s="132"/>
    </row>
    <row r="5" spans="1:10" ht="15">
      <c r="A5" s="130" t="s">
        <v>35</v>
      </c>
      <c r="B5" s="131"/>
      <c r="C5" s="131" t="s">
        <v>36</v>
      </c>
      <c r="D5" s="132"/>
      <c r="E5" s="132"/>
      <c r="F5" s="132"/>
      <c r="G5" s="132"/>
      <c r="H5" s="132"/>
      <c r="I5" s="132"/>
      <c r="J5" s="132"/>
    </row>
    <row r="6" spans="1:10" ht="15">
      <c r="A6" s="130" t="s">
        <v>37</v>
      </c>
      <c r="B6" s="131"/>
      <c r="C6" s="131" t="s">
        <v>226</v>
      </c>
      <c r="D6" s="132"/>
      <c r="E6" s="132"/>
      <c r="F6" s="132"/>
      <c r="G6" s="132"/>
      <c r="H6" s="132"/>
      <c r="I6" s="132"/>
      <c r="J6" s="132"/>
    </row>
    <row r="7" spans="1:10" ht="15">
      <c r="A7" s="130" t="s">
        <v>39</v>
      </c>
      <c r="B7" s="131"/>
      <c r="C7" s="131" t="s">
        <v>40</v>
      </c>
      <c r="D7" s="132"/>
      <c r="E7" s="132"/>
      <c r="F7" s="132"/>
      <c r="G7" s="132"/>
      <c r="H7" s="132"/>
      <c r="I7" s="132"/>
      <c r="J7" s="132"/>
    </row>
    <row r="8" spans="1:10" ht="15">
      <c r="A8" s="130" t="s">
        <v>41</v>
      </c>
      <c r="B8" s="131"/>
      <c r="C8" s="131" t="s">
        <v>227</v>
      </c>
      <c r="D8" s="132"/>
      <c r="E8" s="132"/>
      <c r="F8" s="132"/>
      <c r="G8" s="132"/>
      <c r="H8" s="132"/>
      <c r="I8" s="132"/>
      <c r="J8" s="132"/>
    </row>
    <row r="9" spans="1:10" ht="15">
      <c r="A9" s="130" t="s">
        <v>42</v>
      </c>
      <c r="B9" s="131"/>
      <c r="C9" s="131" t="s">
        <v>228</v>
      </c>
      <c r="D9" s="132"/>
      <c r="E9" s="132"/>
      <c r="F9" s="132"/>
      <c r="G9" s="132"/>
      <c r="H9" s="132"/>
      <c r="I9" s="132"/>
      <c r="J9" s="132"/>
    </row>
    <row r="10" spans="1:10" ht="30" customHeight="1">
      <c r="A10" s="63"/>
      <c r="B10" s="63" t="s">
        <v>43</v>
      </c>
      <c r="C10" s="63" t="s">
        <v>33</v>
      </c>
      <c r="D10" s="63" t="s">
        <v>37</v>
      </c>
      <c r="E10" s="64" t="s">
        <v>39</v>
      </c>
      <c r="F10" s="65" t="s">
        <v>41</v>
      </c>
      <c r="G10" s="65" t="s">
        <v>42</v>
      </c>
      <c r="H10" s="65" t="s">
        <v>44</v>
      </c>
      <c r="I10" s="65" t="s">
        <v>41</v>
      </c>
      <c r="J10" s="65" t="s">
        <v>42</v>
      </c>
    </row>
    <row r="11" spans="1:10" ht="24" customHeight="1">
      <c r="A11" s="66" t="s">
        <v>45</v>
      </c>
      <c r="B11" s="66" t="s">
        <v>229</v>
      </c>
      <c r="C11" s="66" t="s">
        <v>230</v>
      </c>
      <c r="D11" s="66" t="s">
        <v>65</v>
      </c>
      <c r="E11" s="67" t="s">
        <v>19</v>
      </c>
      <c r="F11" s="68" t="s">
        <v>231</v>
      </c>
      <c r="G11" s="68" t="s">
        <v>232</v>
      </c>
      <c r="H11" s="68" t="s">
        <v>233</v>
      </c>
      <c r="I11" s="68" t="s">
        <v>234</v>
      </c>
      <c r="J11" s="68" t="s">
        <v>235</v>
      </c>
    </row>
    <row r="12" spans="1:10" ht="24" customHeight="1">
      <c r="A12" s="66" t="s">
        <v>45</v>
      </c>
      <c r="B12" s="66" t="s">
        <v>197</v>
      </c>
      <c r="C12" s="66" t="s">
        <v>198</v>
      </c>
      <c r="D12" s="66" t="s">
        <v>65</v>
      </c>
      <c r="E12" s="67" t="s">
        <v>19</v>
      </c>
      <c r="F12" s="68" t="s">
        <v>199</v>
      </c>
      <c r="G12" s="68" t="s">
        <v>200</v>
      </c>
      <c r="H12" s="68" t="s">
        <v>236</v>
      </c>
      <c r="I12" s="68" t="s">
        <v>237</v>
      </c>
      <c r="J12" s="68" t="s">
        <v>238</v>
      </c>
    </row>
    <row r="13" spans="1:10" ht="24" customHeight="1">
      <c r="A13" s="66" t="s">
        <v>45</v>
      </c>
      <c r="B13" s="66" t="s">
        <v>63</v>
      </c>
      <c r="C13" s="66" t="s">
        <v>64</v>
      </c>
      <c r="D13" s="66" t="s">
        <v>65</v>
      </c>
      <c r="E13" s="67" t="s">
        <v>19</v>
      </c>
      <c r="F13" s="68" t="s">
        <v>204</v>
      </c>
      <c r="G13" s="68" t="s">
        <v>205</v>
      </c>
      <c r="H13" s="68" t="s">
        <v>239</v>
      </c>
      <c r="I13" s="68" t="s">
        <v>240</v>
      </c>
      <c r="J13" s="68" t="s">
        <v>241</v>
      </c>
    </row>
    <row r="14" spans="1:10" ht="36" customHeight="1">
      <c r="A14" s="66" t="s">
        <v>45</v>
      </c>
      <c r="B14" s="66" t="s">
        <v>242</v>
      </c>
      <c r="C14" s="66" t="s">
        <v>243</v>
      </c>
      <c r="D14" s="66" t="s">
        <v>244</v>
      </c>
      <c r="E14" s="67" t="s">
        <v>190</v>
      </c>
      <c r="F14" s="68" t="s">
        <v>245</v>
      </c>
      <c r="G14" s="68" t="s">
        <v>246</v>
      </c>
      <c r="H14" s="68" t="s">
        <v>247</v>
      </c>
      <c r="I14" s="68" t="s">
        <v>248</v>
      </c>
      <c r="J14" s="68" t="s">
        <v>249</v>
      </c>
    </row>
    <row r="15" spans="1:10" ht="24" customHeight="1">
      <c r="A15" s="69" t="s">
        <v>90</v>
      </c>
      <c r="B15" s="69" t="s">
        <v>250</v>
      </c>
      <c r="C15" s="69" t="s">
        <v>251</v>
      </c>
      <c r="D15" s="69" t="s">
        <v>93</v>
      </c>
      <c r="E15" s="70" t="s">
        <v>40</v>
      </c>
      <c r="F15" s="71" t="s">
        <v>252</v>
      </c>
      <c r="G15" s="71" t="s">
        <v>252</v>
      </c>
      <c r="H15" s="71" t="s">
        <v>253</v>
      </c>
      <c r="I15" s="71" t="s">
        <v>254</v>
      </c>
      <c r="J15" s="71" t="s">
        <v>254</v>
      </c>
    </row>
    <row r="16" spans="1:10" ht="24" customHeight="1">
      <c r="A16" s="69" t="s">
        <v>90</v>
      </c>
      <c r="B16" s="69" t="s">
        <v>255</v>
      </c>
      <c r="C16" s="69" t="s">
        <v>256</v>
      </c>
      <c r="D16" s="69" t="s">
        <v>93</v>
      </c>
      <c r="E16" s="70" t="s">
        <v>196</v>
      </c>
      <c r="F16" s="71" t="s">
        <v>257</v>
      </c>
      <c r="G16" s="71" t="s">
        <v>257</v>
      </c>
      <c r="H16" s="71" t="s">
        <v>103</v>
      </c>
      <c r="I16" s="71" t="s">
        <v>258</v>
      </c>
      <c r="J16" s="71" t="s">
        <v>258</v>
      </c>
    </row>
    <row r="17" spans="1:10" ht="42" customHeight="1">
      <c r="A17" s="69" t="s">
        <v>90</v>
      </c>
      <c r="B17" s="69" t="s">
        <v>259</v>
      </c>
      <c r="C17" s="69" t="s">
        <v>260</v>
      </c>
      <c r="D17" s="69" t="s">
        <v>93</v>
      </c>
      <c r="E17" s="70" t="s">
        <v>40</v>
      </c>
      <c r="F17" s="71" t="s">
        <v>261</v>
      </c>
      <c r="G17" s="71" t="s">
        <v>261</v>
      </c>
      <c r="H17" s="71" t="s">
        <v>262</v>
      </c>
      <c r="I17" s="71" t="s">
        <v>263</v>
      </c>
      <c r="J17" s="71" t="s">
        <v>263</v>
      </c>
    </row>
  </sheetData>
  <mergeCells count="17">
    <mergeCell ref="A8:B8"/>
    <mergeCell ref="C8:J8"/>
    <mergeCell ref="A9:B9"/>
    <mergeCell ref="C9:J9"/>
    <mergeCell ref="A5:B5"/>
    <mergeCell ref="C5:J5"/>
    <mergeCell ref="A6:B6"/>
    <mergeCell ref="C6:J6"/>
    <mergeCell ref="A7:B7"/>
    <mergeCell ref="C7:J7"/>
    <mergeCell ref="A4:B4"/>
    <mergeCell ref="C4:J4"/>
    <mergeCell ref="A1:J1"/>
    <mergeCell ref="A2:B2"/>
    <mergeCell ref="C2:J2"/>
    <mergeCell ref="A3:B3"/>
    <mergeCell ref="C3:J3"/>
  </mergeCells>
  <printOptions/>
  <pageMargins left="0.5" right="0.5" top="1" bottom="1" header="0.5" footer="0.5"/>
  <pageSetup fitToHeight="0" fitToWidth="1" horizontalDpi="600" verticalDpi="600" orientation="portrait" paperSize="9" scale="58" r:id="rId1"/>
  <headerFooter>
    <oddHeader xml:space="preserve">&amp;CMinha Empresa
CNPJ: </oddHeader>
    <oddFooter>&amp;C  -  -  / 
(91) 9824-61573 / marcusfprado@hotmail.com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PRADO</dc:creator>
  <cp:keywords/>
  <dc:description/>
  <cp:lastModifiedBy>MARCUS PRADO</cp:lastModifiedBy>
  <cp:lastPrinted>2022-03-15T05:13:04Z</cp:lastPrinted>
  <dcterms:created xsi:type="dcterms:W3CDTF">2022-01-11T02:51:15Z</dcterms:created>
  <dcterms:modified xsi:type="dcterms:W3CDTF">2022-03-15T05:17:39Z</dcterms:modified>
  <cp:category/>
  <cp:version/>
  <cp:contentType/>
  <cp:contentStatus/>
</cp:coreProperties>
</file>